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C:\Users\khrapovitckii_aa\Desktop\"/>
    </mc:Choice>
  </mc:AlternateContent>
  <xr:revisionPtr revIDLastSave="0" documentId="13_ncr:1_{B2542B14-3B42-430F-B840-E01BA0806A0E}" xr6:coauthVersionLast="47" xr6:coauthVersionMax="47" xr10:uidLastSave="{00000000-0000-0000-0000-000000000000}"/>
  <bookViews>
    <workbookView xWindow="28680" yWindow="-90" windowWidth="29040" windowHeight="15720" tabRatio="854" firstSheet="3" activeTab="14" xr2:uid="{00000000-000D-0000-FFFF-FFFF00000000}"/>
  </bookViews>
  <sheets>
    <sheet name="для туристических баз" sheetId="2" r:id="rId1"/>
    <sheet name="стадионов,спортзалов" sheetId="4" r:id="rId2"/>
    <sheet name="больницы " sheetId="5" r:id="rId3"/>
    <sheet name="питьевого фонтанчика" sheetId="6" r:id="rId4"/>
    <sheet name="для науч институтов и лабор" sheetId="7" r:id="rId5"/>
    <sheet name="для жилых домов" sheetId="8" r:id="rId6"/>
    <sheet name="для школ - интернатов" sheetId="9" r:id="rId7"/>
    <sheet name="для общеобразовательных школ" sheetId="10" r:id="rId8"/>
    <sheet name="для уч. заведений" sheetId="11" r:id="rId9"/>
    <sheet name="для театров" sheetId="12" r:id="rId10"/>
    <sheet name="Лист10" sheetId="42" state="hidden" r:id="rId11"/>
    <sheet name="Лист11" sheetId="43" state="hidden" r:id="rId12"/>
    <sheet name="Лист12" sheetId="44" state="hidden" r:id="rId13"/>
    <sheet name="Лист13" sheetId="45" state="hidden" r:id="rId14"/>
    <sheet name="для предприятий обществ. пит." sheetId="13" r:id="rId15"/>
    <sheet name="Лист14" sheetId="46" state="hidden" r:id="rId16"/>
    <sheet name="Лист15" sheetId="47" state="hidden" r:id="rId17"/>
    <sheet name="для магазинов" sheetId="14" r:id="rId18"/>
    <sheet name="для поликлиники" sheetId="15" r:id="rId19"/>
    <sheet name="для парикмахерской" sheetId="16" r:id="rId20"/>
    <sheet name="для админ. зданий, помещений " sheetId="17" r:id="rId21"/>
    <sheet name="для оздоровительного лагеря " sheetId="19" r:id="rId22"/>
    <sheet name="для общежитий" sheetId="20" r:id="rId23"/>
    <sheet name="для клубов" sheetId="21" r:id="rId24"/>
    <sheet name="для кинотеатров" sheetId="22" r:id="rId25"/>
    <sheet name="детские ясли-сады" sheetId="23" r:id="rId26"/>
    <sheet name="для гостиниц и пансионатов" sheetId="24" r:id="rId27"/>
    <sheet name="для гаражей и стоянок" sheetId="25" r:id="rId28"/>
    <sheet name="для гаражей (с мойкой)" sheetId="26" r:id="rId29"/>
    <sheet name="для библиотек " sheetId="27" r:id="rId30"/>
    <sheet name="Лист2" sheetId="34" state="hidden" r:id="rId31"/>
    <sheet name="Лист3" sheetId="35" state="hidden" r:id="rId32"/>
    <sheet name="Лист4" sheetId="36" state="hidden" r:id="rId33"/>
    <sheet name="Лист5" sheetId="37" state="hidden" r:id="rId34"/>
    <sheet name="Лист6" sheetId="38" state="hidden" r:id="rId35"/>
    <sheet name="Лист7" sheetId="39" state="hidden" r:id="rId36"/>
    <sheet name="Лист8" sheetId="40" state="hidden" r:id="rId37"/>
    <sheet name="Лист9" sheetId="41" state="hidden" r:id="rId38"/>
    <sheet name="для бани" sheetId="28" r:id="rId39"/>
    <sheet name="для аптек" sheetId="29" r:id="rId40"/>
    <sheet name="Лист17" sheetId="49" state="hidden" r:id="rId41"/>
    <sheet name="Лист18" sheetId="50" state="hidden" r:id="rId42"/>
    <sheet name="заливка катка" sheetId="30" r:id="rId43"/>
    <sheet name="Санатории " sheetId="33" r:id="rId44"/>
    <sheet name="Бассейны" sheetId="51" r:id="rId45"/>
    <sheet name="Полив футбольного поля" sheetId="52" r:id="rId46"/>
    <sheet name="Прачечные " sheetId="48" r:id="rId47"/>
    <sheet name="Душевые" sheetId="55" r:id="rId48"/>
  </sheets>
  <definedNames>
    <definedName name="_xlnm.Print_Area" localSheetId="44">Бассейны!$A$1:$P$39</definedName>
    <definedName name="_xlnm.Print_Area" localSheetId="2">'больницы '!$A$1:$Q$47</definedName>
    <definedName name="_xlnm.Print_Area" localSheetId="25">'детские ясли-сады'!$A$1:$P$63</definedName>
    <definedName name="_xlnm.Print_Area" localSheetId="20">'для админ. зданий, помещений '!$A$1:$P$29</definedName>
    <definedName name="_xlnm.Print_Area" localSheetId="39">'для аптек'!$A$1:$P$38</definedName>
    <definedName name="_xlnm.Print_Area" localSheetId="38">'для бани'!$A$1:$P$58</definedName>
    <definedName name="_xlnm.Print_Area" localSheetId="29">'для библиотек '!$A$1:$P$37</definedName>
    <definedName name="_xlnm.Print_Area" localSheetId="28">'для гаражей (с мойкой)'!$A$1:$P$48</definedName>
    <definedName name="_xlnm.Print_Area" localSheetId="27">'для гаражей и стоянок'!$A$1:$P$35</definedName>
    <definedName name="_xlnm.Print_Area" localSheetId="26">'для гостиниц и пансионатов'!$A$1:$P$70</definedName>
    <definedName name="_xlnm.Print_Area" localSheetId="5">'для жилых домов'!$A$1:$Q$117</definedName>
    <definedName name="_xlnm.Print_Area" localSheetId="24">'для кинотеатров'!$A$1:$P$28</definedName>
    <definedName name="_xlnm.Print_Area" localSheetId="23">'для клубов'!$A$1:$Q$31</definedName>
    <definedName name="_xlnm.Print_Area" localSheetId="17">'для магазинов'!$A$1:$P$43</definedName>
    <definedName name="_xlnm.Print_Area" localSheetId="4">'для науч институтов и лабор'!$A$1:$Q$54</definedName>
    <definedName name="_xlnm.Print_Area" localSheetId="22">'для общежитий'!$A$1:$P$72</definedName>
    <definedName name="_xlnm.Print_Area" localSheetId="7">'для общеобразовательных школ'!$A$1:$P$55</definedName>
    <definedName name="_xlnm.Print_Area" localSheetId="21">'для оздоровительного лагеря '!$A$1:$Q$46</definedName>
    <definedName name="_xlnm.Print_Area" localSheetId="19">'для парикмахерской'!$A$1:$P$29</definedName>
    <definedName name="_xlnm.Print_Area" localSheetId="18">'для поликлиники'!$A$1:$R$31</definedName>
    <definedName name="_xlnm.Print_Area" localSheetId="14">'для предприятий обществ. пит.'!$A$1:$P$73</definedName>
    <definedName name="_xlnm.Print_Area" localSheetId="9">'для театров'!$A$1:$P$37</definedName>
    <definedName name="_xlnm.Print_Area" localSheetId="0">'для туристических баз'!$A$1:$Q$39,'для туристических баз'!$AB$22</definedName>
    <definedName name="_xlnm.Print_Area" localSheetId="8">'для уч. заведений'!$A$1:$P$59</definedName>
    <definedName name="_xlnm.Print_Area" localSheetId="6">'для школ - интернатов'!$A$1:$Q$47</definedName>
    <definedName name="_xlnm.Print_Area" localSheetId="47">Душевые!$A$1:$P$101</definedName>
    <definedName name="_xlnm.Print_Area" localSheetId="42">'заливка катка'!$A$1:$P$26</definedName>
    <definedName name="_xlnm.Print_Area" localSheetId="3">'питьевого фонтанчика'!$A$1:$Q$27</definedName>
    <definedName name="_xlnm.Print_Area" localSheetId="45">'Полив футбольного поля'!$A$1:$Q$33</definedName>
    <definedName name="_xlnm.Print_Area" localSheetId="46">'Прачечные '!$A$1:$P$43</definedName>
    <definedName name="_xlnm.Print_Area" localSheetId="1">'стадионов,спортзалов'!$Y$22,'стадионов,спортзалов'!$A$1:$Q$50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8" l="1"/>
  <c r="F93" i="8"/>
  <c r="C16" i="8"/>
  <c r="I16" i="8"/>
  <c r="C63" i="8"/>
  <c r="E36" i="26"/>
  <c r="F17" i="16"/>
  <c r="F22" i="14"/>
  <c r="F19" i="14"/>
  <c r="F40" i="10"/>
  <c r="D40" i="10"/>
  <c r="B40" i="10"/>
  <c r="F37" i="10"/>
  <c r="D37" i="10"/>
  <c r="B37" i="10"/>
  <c r="F20" i="10"/>
  <c r="D20" i="10"/>
  <c r="B20" i="10"/>
  <c r="F17" i="10"/>
  <c r="D17" i="10"/>
  <c r="B17" i="10"/>
  <c r="I37" i="10"/>
  <c r="I40" i="10"/>
  <c r="I20" i="10"/>
  <c r="I17" i="10"/>
  <c r="G19" i="15"/>
  <c r="E19" i="15"/>
  <c r="G22" i="15"/>
  <c r="E22" i="15"/>
  <c r="E95" i="55"/>
  <c r="C95" i="55"/>
  <c r="E85" i="55"/>
  <c r="C85" i="55"/>
  <c r="E82" i="55"/>
  <c r="C82" i="55"/>
  <c r="E73" i="55"/>
  <c r="C73" i="55"/>
  <c r="E70" i="55"/>
  <c r="C70" i="55"/>
  <c r="E60" i="55"/>
  <c r="C60" i="55"/>
  <c r="H60" i="55"/>
  <c r="E57" i="55"/>
  <c r="C57" i="55"/>
  <c r="E47" i="55"/>
  <c r="C47" i="55"/>
  <c r="H47" i="55"/>
  <c r="E44" i="55"/>
  <c r="C44" i="55"/>
  <c r="H44" i="55"/>
  <c r="E34" i="55"/>
  <c r="C34" i="55"/>
  <c r="E31" i="55"/>
  <c r="C31" i="55"/>
  <c r="C20" i="55"/>
  <c r="E17" i="55"/>
  <c r="C17" i="55"/>
  <c r="E33" i="48"/>
  <c r="C33" i="48"/>
  <c r="E30" i="48"/>
  <c r="C30" i="48"/>
  <c r="E21" i="48"/>
  <c r="H21" i="48" s="1"/>
  <c r="C21" i="48"/>
  <c r="E18" i="48"/>
  <c r="C18" i="48"/>
  <c r="D26" i="52"/>
  <c r="B26" i="52"/>
  <c r="F26" i="52"/>
  <c r="E27" i="52"/>
  <c r="D17" i="52"/>
  <c r="B17" i="52"/>
  <c r="E28" i="51"/>
  <c r="C28" i="51"/>
  <c r="E25" i="51"/>
  <c r="C25" i="51"/>
  <c r="E16" i="51"/>
  <c r="C16" i="51"/>
  <c r="E30" i="33"/>
  <c r="C30" i="33"/>
  <c r="E27" i="33"/>
  <c r="C27" i="33"/>
  <c r="E21" i="33"/>
  <c r="C21" i="33"/>
  <c r="E18" i="33"/>
  <c r="C18" i="33"/>
  <c r="E17" i="30"/>
  <c r="C17" i="30"/>
  <c r="E29" i="29"/>
  <c r="C29" i="29"/>
  <c r="E26" i="29"/>
  <c r="C26" i="29"/>
  <c r="E20" i="29"/>
  <c r="C20" i="29"/>
  <c r="E17" i="29"/>
  <c r="C17" i="29"/>
  <c r="E49" i="28"/>
  <c r="C49" i="28"/>
  <c r="I49" i="28"/>
  <c r="E46" i="28"/>
  <c r="C46" i="28"/>
  <c r="E40" i="28"/>
  <c r="C40" i="28"/>
  <c r="I40" i="28"/>
  <c r="E37" i="28"/>
  <c r="C37" i="28"/>
  <c r="E31" i="28"/>
  <c r="C31" i="28"/>
  <c r="E28" i="28"/>
  <c r="C28" i="28"/>
  <c r="E20" i="28"/>
  <c r="C20" i="28"/>
  <c r="I20" i="28"/>
  <c r="E17" i="28"/>
  <c r="C17" i="28"/>
  <c r="C28" i="27"/>
  <c r="C25" i="27"/>
  <c r="C20" i="27"/>
  <c r="E17" i="27"/>
  <c r="C17" i="27"/>
  <c r="H95" i="55"/>
  <c r="E96" i="55"/>
  <c r="I17" i="28"/>
  <c r="I28" i="28"/>
  <c r="I37" i="28"/>
  <c r="H17" i="55"/>
  <c r="H18" i="48"/>
  <c r="H30" i="48"/>
  <c r="H82" i="55"/>
  <c r="E87" i="55"/>
  <c r="H85" i="55"/>
  <c r="H70" i="55"/>
  <c r="H73" i="55"/>
  <c r="H31" i="55"/>
  <c r="H28" i="51"/>
  <c r="G18" i="33"/>
  <c r="G27" i="33"/>
  <c r="G30" i="33"/>
  <c r="I17" i="30"/>
  <c r="E20" i="30"/>
  <c r="I29" i="29"/>
  <c r="I17" i="29"/>
  <c r="I26" i="29"/>
  <c r="I20" i="29"/>
  <c r="H57" i="55"/>
  <c r="E62" i="55"/>
  <c r="H25" i="51"/>
  <c r="I17" i="27"/>
  <c r="I31" i="28"/>
  <c r="I46" i="28"/>
  <c r="G21" i="33"/>
  <c r="H16" i="51"/>
  <c r="F17" i="52"/>
  <c r="E18" i="52"/>
  <c r="H33" i="48"/>
  <c r="H34" i="55"/>
  <c r="E49" i="55"/>
  <c r="E40" i="26"/>
  <c r="C40" i="26"/>
  <c r="C36" i="26"/>
  <c r="H36" i="26"/>
  <c r="E32" i="26"/>
  <c r="C32" i="26"/>
  <c r="E26" i="26"/>
  <c r="C26" i="26"/>
  <c r="E22" i="26"/>
  <c r="C22" i="26"/>
  <c r="E18" i="26"/>
  <c r="C18" i="26"/>
  <c r="C26" i="25"/>
  <c r="G26" i="25"/>
  <c r="E20" i="25"/>
  <c r="C20" i="25"/>
  <c r="E17" i="25"/>
  <c r="C17" i="25"/>
  <c r="E61" i="24"/>
  <c r="C61" i="24"/>
  <c r="E58" i="24"/>
  <c r="C58" i="24"/>
  <c r="E51" i="24"/>
  <c r="E48" i="24"/>
  <c r="C48" i="24"/>
  <c r="E41" i="24"/>
  <c r="E38" i="24"/>
  <c r="C38" i="24"/>
  <c r="E29" i="24"/>
  <c r="E26" i="24"/>
  <c r="C26" i="24"/>
  <c r="E20" i="24"/>
  <c r="E17" i="24"/>
  <c r="C17" i="24"/>
  <c r="E53" i="23"/>
  <c r="C53" i="23"/>
  <c r="E50" i="23"/>
  <c r="C50" i="23"/>
  <c r="E42" i="23"/>
  <c r="C42" i="23"/>
  <c r="E39" i="23"/>
  <c r="C39" i="23"/>
  <c r="I39" i="23"/>
  <c r="E31" i="23"/>
  <c r="E28" i="23"/>
  <c r="C28" i="23"/>
  <c r="E20" i="23"/>
  <c r="E17" i="23"/>
  <c r="C17" i="23"/>
  <c r="E19" i="22"/>
  <c r="C19" i="22"/>
  <c r="E16" i="22"/>
  <c r="C16" i="22"/>
  <c r="E17" i="21"/>
  <c r="C17" i="21"/>
  <c r="E64" i="20"/>
  <c r="C64" i="20"/>
  <c r="E61" i="20"/>
  <c r="C61" i="20"/>
  <c r="C50" i="20"/>
  <c r="E45" i="20"/>
  <c r="C45" i="20"/>
  <c r="E42" i="20"/>
  <c r="C42" i="20"/>
  <c r="E36" i="20"/>
  <c r="E33" i="20"/>
  <c r="C33" i="20"/>
  <c r="C28" i="20"/>
  <c r="E25" i="20"/>
  <c r="C25" i="20"/>
  <c r="E20" i="20"/>
  <c r="C20" i="20"/>
  <c r="E17" i="20"/>
  <c r="C17" i="20"/>
  <c r="J38" i="19"/>
  <c r="N38" i="19"/>
  <c r="G38" i="19"/>
  <c r="J35" i="19"/>
  <c r="N35" i="19"/>
  <c r="G35" i="19"/>
  <c r="J24" i="19"/>
  <c r="G24" i="19"/>
  <c r="G21" i="19"/>
  <c r="J21" i="19"/>
  <c r="E21" i="19"/>
  <c r="C21" i="19"/>
  <c r="F20" i="16"/>
  <c r="D20" i="16"/>
  <c r="B20" i="16"/>
  <c r="D17" i="16"/>
  <c r="B17" i="16"/>
  <c r="C22" i="15"/>
  <c r="K22" i="15"/>
  <c r="C19" i="15"/>
  <c r="K19" i="15"/>
  <c r="I17" i="23"/>
  <c r="I42" i="23"/>
  <c r="I53" i="23"/>
  <c r="E36" i="55"/>
  <c r="H40" i="26"/>
  <c r="E75" i="55"/>
  <c r="E33" i="33"/>
  <c r="E51" i="28"/>
  <c r="H17" i="25"/>
  <c r="I17" i="24"/>
  <c r="I58" i="24"/>
  <c r="I61" i="24"/>
  <c r="I26" i="24"/>
  <c r="I48" i="24"/>
  <c r="I28" i="23"/>
  <c r="I16" i="22"/>
  <c r="I19" i="22"/>
  <c r="I17" i="21"/>
  <c r="I61" i="20"/>
  <c r="I17" i="20"/>
  <c r="I25" i="20"/>
  <c r="I45" i="20"/>
  <c r="E31" i="29"/>
  <c r="H22" i="26"/>
  <c r="H18" i="26"/>
  <c r="H26" i="26"/>
  <c r="H32" i="26"/>
  <c r="I20" i="16"/>
  <c r="I42" i="20"/>
  <c r="I64" i="20"/>
  <c r="G24" i="15"/>
  <c r="E22" i="22"/>
  <c r="I38" i="24"/>
  <c r="I17" i="16"/>
  <c r="E23" i="16"/>
  <c r="I20" i="20"/>
  <c r="I33" i="20"/>
  <c r="I50" i="23"/>
  <c r="H20" i="25"/>
  <c r="N21" i="19"/>
  <c r="F34" i="14"/>
  <c r="D34" i="14"/>
  <c r="B34" i="14"/>
  <c r="D31" i="14"/>
  <c r="B31" i="14"/>
  <c r="F31" i="14"/>
  <c r="D22" i="14"/>
  <c r="B22" i="14"/>
  <c r="D19" i="14"/>
  <c r="B19" i="14"/>
  <c r="C61" i="13"/>
  <c r="C56" i="13"/>
  <c r="C53" i="13"/>
  <c r="C45" i="13"/>
  <c r="I45" i="13" s="1"/>
  <c r="E37" i="13"/>
  <c r="C37" i="13"/>
  <c r="E32" i="13"/>
  <c r="C32" i="13"/>
  <c r="E29" i="13"/>
  <c r="C29" i="13"/>
  <c r="E21" i="13"/>
  <c r="C21" i="13"/>
  <c r="I21" i="13" s="1"/>
  <c r="E18" i="13"/>
  <c r="C18" i="13"/>
  <c r="I18" i="13" s="1"/>
  <c r="C28" i="12"/>
  <c r="E25" i="12"/>
  <c r="C25" i="12"/>
  <c r="I25" i="12"/>
  <c r="E17" i="12"/>
  <c r="C17" i="12"/>
  <c r="E28" i="25"/>
  <c r="I22" i="14"/>
  <c r="E42" i="26"/>
  <c r="I34" i="14"/>
  <c r="I19" i="14"/>
  <c r="I17" i="12"/>
  <c r="I31" i="14"/>
  <c r="E51" i="11"/>
  <c r="C51" i="11"/>
  <c r="E48" i="11"/>
  <c r="C48" i="11"/>
  <c r="F43" i="11"/>
  <c r="D43" i="11"/>
  <c r="B43" i="11"/>
  <c r="F40" i="11"/>
  <c r="D40" i="11"/>
  <c r="B40" i="11"/>
  <c r="E29" i="11"/>
  <c r="C29" i="11"/>
  <c r="E26" i="11"/>
  <c r="C26" i="11"/>
  <c r="E21" i="11"/>
  <c r="C21" i="11"/>
  <c r="E18" i="11"/>
  <c r="C18" i="11"/>
  <c r="E48" i="10"/>
  <c r="C48" i="10"/>
  <c r="C45" i="10"/>
  <c r="C28" i="10"/>
  <c r="E25" i="10"/>
  <c r="C25" i="10"/>
  <c r="E39" i="9"/>
  <c r="C39" i="9"/>
  <c r="C36" i="9"/>
  <c r="E27" i="9"/>
  <c r="C27" i="9"/>
  <c r="E22" i="9"/>
  <c r="C22" i="9"/>
  <c r="E19" i="9"/>
  <c r="C19" i="9"/>
  <c r="I27" i="9"/>
  <c r="I25" i="10"/>
  <c r="I48" i="10"/>
  <c r="E37" i="14"/>
  <c r="I43" i="11"/>
  <c r="H48" i="11"/>
  <c r="H29" i="11"/>
  <c r="I40" i="11"/>
  <c r="I22" i="9"/>
  <c r="I39" i="9"/>
  <c r="I19" i="9"/>
  <c r="H51" i="11"/>
  <c r="H26" i="11"/>
  <c r="H18" i="11"/>
  <c r="H21" i="11"/>
  <c r="E108" i="8"/>
  <c r="C108" i="8"/>
  <c r="E105" i="8"/>
  <c r="C105" i="8"/>
  <c r="C93" i="8"/>
  <c r="E97" i="8"/>
  <c r="C82" i="8"/>
  <c r="G82" i="8"/>
  <c r="E84" i="8"/>
  <c r="C73" i="8"/>
  <c r="G73" i="8"/>
  <c r="E75" i="8"/>
  <c r="G63" i="8"/>
  <c r="E65" i="8"/>
  <c r="E39" i="5"/>
  <c r="E36" i="5"/>
  <c r="E30" i="5"/>
  <c r="E27" i="5"/>
  <c r="E21" i="5"/>
  <c r="E18" i="5"/>
  <c r="C53" i="8"/>
  <c r="I53" i="8"/>
  <c r="E54" i="8"/>
  <c r="C46" i="8"/>
  <c r="I46" i="8"/>
  <c r="E47" i="8"/>
  <c r="C39" i="8"/>
  <c r="I39" i="8"/>
  <c r="E40" i="8"/>
  <c r="C29" i="8"/>
  <c r="I29" i="8"/>
  <c r="E32" i="8"/>
  <c r="I19" i="8"/>
  <c r="E45" i="7"/>
  <c r="C45" i="7"/>
  <c r="E42" i="7"/>
  <c r="C42" i="7"/>
  <c r="E37" i="7"/>
  <c r="C37" i="7"/>
  <c r="E34" i="7"/>
  <c r="C34" i="7"/>
  <c r="E29" i="7"/>
  <c r="C29" i="7"/>
  <c r="E26" i="7"/>
  <c r="C26" i="7"/>
  <c r="E21" i="7"/>
  <c r="C21" i="7"/>
  <c r="C18" i="7"/>
  <c r="E18" i="6"/>
  <c r="C18" i="6"/>
  <c r="C39" i="5"/>
  <c r="C36" i="5"/>
  <c r="C30" i="5"/>
  <c r="C27" i="5"/>
  <c r="C21" i="5"/>
  <c r="C18" i="5"/>
  <c r="E40" i="4"/>
  <c r="E36" i="4"/>
  <c r="C36" i="4"/>
  <c r="E31" i="4"/>
  <c r="C31" i="4"/>
  <c r="C27" i="4"/>
  <c r="G22" i="4"/>
  <c r="C22" i="4"/>
  <c r="G18" i="4"/>
  <c r="C18" i="4"/>
  <c r="H18" i="6"/>
  <c r="E20" i="6"/>
  <c r="H21" i="7"/>
  <c r="H29" i="7"/>
  <c r="H34" i="7"/>
  <c r="H42" i="7"/>
  <c r="H45" i="7"/>
  <c r="H105" i="8"/>
  <c r="H31" i="4"/>
  <c r="H36" i="4"/>
  <c r="H108" i="8"/>
  <c r="H18" i="5"/>
  <c r="H26" i="7"/>
  <c r="H37" i="7"/>
  <c r="E21" i="8"/>
  <c r="E53" i="11"/>
  <c r="H21" i="5"/>
  <c r="J18" i="4"/>
  <c r="J22" i="4"/>
  <c r="E17" i="2"/>
  <c r="H17" i="2" s="1"/>
  <c r="C17" i="2"/>
  <c r="E110" i="8"/>
  <c r="E20" i="55"/>
  <c r="H20" i="55"/>
  <c r="E23" i="55"/>
  <c r="C19" i="8"/>
  <c r="C19" i="51"/>
  <c r="H19" i="51"/>
  <c r="E33" i="51"/>
  <c r="C51" i="24"/>
  <c r="I51" i="24"/>
  <c r="C41" i="24"/>
  <c r="I41" i="24"/>
  <c r="C20" i="23"/>
  <c r="I20" i="23"/>
  <c r="C36" i="20"/>
  <c r="I36" i="20"/>
  <c r="E38" i="19"/>
  <c r="C38" i="19"/>
  <c r="E35" i="19"/>
  <c r="C35" i="19"/>
  <c r="E45" i="10"/>
  <c r="I45" i="10"/>
  <c r="H39" i="5"/>
  <c r="H36" i="5"/>
  <c r="H30" i="5"/>
  <c r="H27" i="5"/>
  <c r="C40" i="4"/>
  <c r="H40" i="4"/>
  <c r="E41" i="5"/>
  <c r="E30" i="9"/>
  <c r="C30" i="9"/>
  <c r="E36" i="9"/>
  <c r="I36" i="9"/>
  <c r="E20" i="27"/>
  <c r="I20" i="27"/>
  <c r="E25" i="27"/>
  <c r="I25" i="27"/>
  <c r="E28" i="27"/>
  <c r="I28" i="27"/>
  <c r="C20" i="24"/>
  <c r="I20" i="24"/>
  <c r="C29" i="24"/>
  <c r="I29" i="24"/>
  <c r="C31" i="23"/>
  <c r="I31" i="23"/>
  <c r="E56" i="23"/>
  <c r="C20" i="21"/>
  <c r="E20" i="21"/>
  <c r="E28" i="20"/>
  <c r="I28" i="20"/>
  <c r="E50" i="20"/>
  <c r="I50" i="20"/>
  <c r="E53" i="20"/>
  <c r="C53" i="20"/>
  <c r="C24" i="19"/>
  <c r="E24" i="19"/>
  <c r="C17" i="17"/>
  <c r="E17" i="17"/>
  <c r="C20" i="17"/>
  <c r="E20" i="17"/>
  <c r="E40" i="13"/>
  <c r="C40" i="13"/>
  <c r="E45" i="13"/>
  <c r="E48" i="13"/>
  <c r="C48" i="13"/>
  <c r="E53" i="13"/>
  <c r="I53" i="13" s="1"/>
  <c r="E56" i="13"/>
  <c r="I56" i="13" s="1"/>
  <c r="E61" i="13"/>
  <c r="I61" i="13" s="1"/>
  <c r="E64" i="13"/>
  <c r="I64" i="13" s="1"/>
  <c r="C64" i="13"/>
  <c r="C20" i="12"/>
  <c r="E20" i="12"/>
  <c r="E28" i="12"/>
  <c r="I28" i="12"/>
  <c r="E28" i="10"/>
  <c r="I28" i="10"/>
  <c r="E49" i="10"/>
  <c r="E18" i="7"/>
  <c r="H18" i="7"/>
  <c r="E47" i="7"/>
  <c r="E27" i="4"/>
  <c r="H27" i="4"/>
  <c r="E43" i="4"/>
  <c r="C21" i="2"/>
  <c r="E21" i="2"/>
  <c r="H21" i="2" s="1"/>
  <c r="C26" i="2"/>
  <c r="E26" i="2"/>
  <c r="H26" i="2" s="1"/>
  <c r="C29" i="2"/>
  <c r="E29" i="2"/>
  <c r="H29" i="2" s="1"/>
  <c r="I20" i="21"/>
  <c r="E25" i="21"/>
  <c r="I53" i="20"/>
  <c r="E66" i="20"/>
  <c r="I30" i="9"/>
  <c r="E41" i="9"/>
  <c r="E30" i="27"/>
  <c r="N24" i="19"/>
  <c r="E39" i="19"/>
  <c r="I20" i="12"/>
  <c r="E31" i="12"/>
  <c r="E63" i="24"/>
  <c r="I20" i="17"/>
  <c r="I17" i="17"/>
  <c r="E23" i="17"/>
  <c r="I40" i="13" l="1"/>
  <c r="I48" i="13"/>
  <c r="I29" i="13"/>
  <c r="I32" i="13"/>
  <c r="I37" i="13"/>
  <c r="E32" i="2"/>
  <c r="E37" i="48"/>
  <c r="E66" i="13" l="1"/>
</calcChain>
</file>

<file path=xl/sharedStrings.xml><?xml version="1.0" encoding="utf-8"?>
<sst xmlns="http://schemas.openxmlformats.org/spreadsheetml/2006/main" count="1818" uniqueCount="658">
  <si>
    <t>РАСЧЕТ – ОБОСНОВАНИЕ</t>
  </si>
  <si>
    <t>норм водопотребления и водоотведения</t>
  </si>
  <si>
    <t>для туристических баз</t>
  </si>
  <si>
    <t>Исходные данные (наименование объекта, адрес):</t>
  </si>
  <si>
    <t xml:space="preserve">          </t>
  </si>
  <si>
    <r>
      <t>Норма водопотребления на 1 человека холодной воды -</t>
    </r>
    <r>
      <rPr>
        <b/>
        <sz val="14"/>
        <rFont val="Times New Roman"/>
        <family val="1"/>
        <charset val="204"/>
      </rPr>
      <t xml:space="preserve">13 </t>
    </r>
    <r>
      <rPr>
        <sz val="14"/>
        <rFont val="Times New Roman"/>
        <family val="1"/>
        <charset val="204"/>
      </rPr>
      <t>литров в сутки.</t>
    </r>
  </si>
  <si>
    <r>
      <t xml:space="preserve">Норма водопотребления на 1 человека холодной воды -  </t>
    </r>
    <r>
      <rPr>
        <b/>
        <sz val="14"/>
        <rFont val="Times New Roman"/>
        <family val="1"/>
        <charset val="204"/>
      </rPr>
      <t>18</t>
    </r>
    <r>
      <rPr>
        <sz val="14"/>
        <rFont val="Times New Roman"/>
        <family val="1"/>
        <charset val="204"/>
      </rPr>
      <t xml:space="preserve"> литров в сутки.</t>
    </r>
  </si>
  <si>
    <r>
      <t xml:space="preserve">Норма водопотребления на 1 человека горячей воды - </t>
    </r>
    <r>
      <rPr>
        <b/>
        <sz val="14"/>
        <rFont val="Times New Roman"/>
        <family val="1"/>
        <charset val="204"/>
      </rPr>
      <t>18</t>
    </r>
    <r>
      <rPr>
        <sz val="14"/>
        <rFont val="Times New Roman"/>
        <family val="1"/>
        <charset val="204"/>
      </rPr>
      <t xml:space="preserve"> литров в сутки. </t>
    </r>
  </si>
  <si>
    <t>Основание:</t>
  </si>
  <si>
    <t>«Абонент»</t>
  </si>
  <si>
    <t>М.П.</t>
  </si>
  <si>
    <t>Количество обслуживающего персонала:</t>
  </si>
  <si>
    <t xml:space="preserve">Количество рабочих дней  </t>
  </si>
  <si>
    <t>в месяце.</t>
  </si>
  <si>
    <t>Q=(13л.сут.* к-во персон.* к-во рабочих дней) / 1000 литров = м3/мес.</t>
  </si>
  <si>
    <t>*</t>
  </si>
  <si>
    <t xml:space="preserve">) /1000 = </t>
  </si>
  <si>
    <t>м3/мес.</t>
  </si>
  <si>
    <t xml:space="preserve">Q=( 13 * </t>
  </si>
  <si>
    <t xml:space="preserve">Q=( 12 * </t>
  </si>
  <si>
    <t>Q=( 12л.сут.* к-во персон.* к-во рабочих дней) / 1000 литров = м3/мес.</t>
  </si>
  <si>
    <t>Количество туристов:</t>
  </si>
  <si>
    <t xml:space="preserve">Q=( 18 * </t>
  </si>
  <si>
    <t>Q=( 18л.сут.* к-во турист.* к-во рабочих дней) / 1000 литров = м3/мес.</t>
  </si>
  <si>
    <t>Q=(18л.сут.* к-во турист.* к-во рабочих дней) / 1000 литров = м3/мес.</t>
  </si>
  <si>
    <t xml:space="preserve">Q=( 6 * </t>
  </si>
  <si>
    <t>Всего</t>
  </si>
  <si>
    <t>м3/в месяц.</t>
  </si>
  <si>
    <t>договор №</t>
  </si>
  <si>
    <t>от</t>
  </si>
  <si>
    <r>
      <t xml:space="preserve">Норма водопотребления на 1 человека горячей воды - </t>
    </r>
    <r>
      <rPr>
        <b/>
        <sz val="14"/>
        <rFont val="Times New Roman"/>
        <family val="1"/>
        <charset val="204"/>
      </rPr>
      <t>12</t>
    </r>
    <r>
      <rPr>
        <sz val="14"/>
        <rFont val="Times New Roman"/>
        <family val="1"/>
        <charset val="204"/>
      </rPr>
      <t xml:space="preserve"> литров в сутки. </t>
    </r>
  </si>
  <si>
    <t>(наименование плательщика)</t>
  </si>
  <si>
    <t xml:space="preserve"> (в сутки)</t>
  </si>
  <si>
    <t>для стадионов и спортивных залов</t>
  </si>
  <si>
    <t>в сутки.</t>
  </si>
  <si>
    <t xml:space="preserve">Количество зрителей: </t>
  </si>
  <si>
    <t xml:space="preserve">Q=( 10 * </t>
  </si>
  <si>
    <t>Количество спортсменов :</t>
  </si>
  <si>
    <t xml:space="preserve">Q=( 50 * </t>
  </si>
  <si>
    <t>Количество койко мест :</t>
  </si>
  <si>
    <t xml:space="preserve">Q=( 150 * </t>
  </si>
  <si>
    <t>питьевого фонтанчика</t>
  </si>
  <si>
    <t>Количество часов в сутки работы фонтана:</t>
  </si>
  <si>
    <t>Количество дней в месяц работы фонтана:</t>
  </si>
  <si>
    <t>Q= (100 л.час.* к-во час. * к-во  дней мес.) / 1000литров = м3/мес.</t>
  </si>
  <si>
    <r>
      <t>Питьевой фонтанчик- норма водопотребления -</t>
    </r>
    <r>
      <rPr>
        <b/>
        <sz val="14"/>
        <rFont val="Times New Roman"/>
        <family val="1"/>
        <charset val="204"/>
      </rPr>
      <t xml:space="preserve">100 </t>
    </r>
    <r>
      <rPr>
        <sz val="14"/>
        <rFont val="Times New Roman"/>
        <family val="1"/>
        <charset val="204"/>
      </rPr>
      <t>литров в час;</t>
    </r>
  </si>
  <si>
    <t xml:space="preserve">Q=( 100 * </t>
  </si>
  <si>
    <t xml:space="preserve">для научно-исследовательских институтов и лабораторий </t>
  </si>
  <si>
    <t>Количество работников</t>
  </si>
  <si>
    <t xml:space="preserve">Химического профиля: </t>
  </si>
  <si>
    <t>м3/мес. (х.в)</t>
  </si>
  <si>
    <t xml:space="preserve">Биологического профиля: </t>
  </si>
  <si>
    <t xml:space="preserve">Физического профиля: </t>
  </si>
  <si>
    <t xml:space="preserve">Q=( 40 * </t>
  </si>
  <si>
    <t xml:space="preserve">Исходные данные (адрес): </t>
  </si>
  <si>
    <t>Количество квартир :</t>
  </si>
  <si>
    <t>Норма водопотребления  - 130 литров в сутки на 1 человека горячей воды.</t>
  </si>
  <si>
    <t xml:space="preserve">Q=( 130 * </t>
  </si>
  <si>
    <t>Q=(130 л.сут.*к-во кв-р * 30 дней/месяца*3 чел.(ср.прожив.в одной кв-ре) ) /1000 литров=м3/месяц (г.в).</t>
  </si>
  <si>
    <t>м3/мес. (г.в)</t>
  </si>
  <si>
    <t>Итого</t>
  </si>
  <si>
    <t>Количество кв.метров:</t>
  </si>
  <si>
    <t>Офисные помещения:</t>
  </si>
  <si>
    <t>Количество работников  :</t>
  </si>
  <si>
    <t>Количество рабочих дней :</t>
  </si>
  <si>
    <t>м3/мес.(х.в.)</t>
  </si>
  <si>
    <t>м3/мес. (г.в.)</t>
  </si>
  <si>
    <t xml:space="preserve">Q=( 2 * </t>
  </si>
  <si>
    <t xml:space="preserve">Исходные данные (наименование объекта, адрес ): </t>
  </si>
  <si>
    <t>в месяц</t>
  </si>
  <si>
    <t>Количество учащихся:</t>
  </si>
  <si>
    <t>Количество преподавателей :</t>
  </si>
  <si>
    <t>для театров</t>
  </si>
  <si>
    <t xml:space="preserve">Исходные данные (адрес ): </t>
  </si>
  <si>
    <t>Количество артистов и персонала  :</t>
  </si>
  <si>
    <t xml:space="preserve">Исходные данные (адрес, наименование объекта): </t>
  </si>
  <si>
    <t>в месяце</t>
  </si>
  <si>
    <t>м3/мес.(г.в.)</t>
  </si>
  <si>
    <t>Выпускающие мясные полуфабрикаты</t>
  </si>
  <si>
    <t>Выпускающие рыбные полуфабрикаты</t>
  </si>
  <si>
    <t>Выпускающие овощные полуфабрикаты</t>
  </si>
  <si>
    <t>Выпускающие кулинарные полуфабрикаты</t>
  </si>
  <si>
    <t>для поликлиники и  амбулатории</t>
  </si>
  <si>
    <t xml:space="preserve">Q=( 8 * </t>
  </si>
  <si>
    <t xml:space="preserve">Q=( 7 * </t>
  </si>
  <si>
    <t>для парикмахерской</t>
  </si>
  <si>
    <t>Количество рабочих мест  :</t>
  </si>
  <si>
    <t xml:space="preserve">для оздоровительного лагеря </t>
  </si>
  <si>
    <t>Количество дней  :</t>
  </si>
  <si>
    <t>в смену</t>
  </si>
  <si>
    <t>Количество мест :</t>
  </si>
  <si>
    <t>в оздоровительном лагере.</t>
  </si>
  <si>
    <t>м3/мес. (х.в.)</t>
  </si>
  <si>
    <t>для общежитий</t>
  </si>
  <si>
    <t>Количество жильцов общежития без душевых  :</t>
  </si>
  <si>
    <t>Количество суток :</t>
  </si>
  <si>
    <r>
      <t xml:space="preserve">Норма водопотребления  - </t>
    </r>
    <r>
      <rPr>
        <b/>
        <sz val="14"/>
        <rFont val="Times New Roman"/>
        <family val="1"/>
        <charset val="204"/>
      </rPr>
      <t>30</t>
    </r>
    <r>
      <rPr>
        <sz val="14"/>
        <rFont val="Times New Roman"/>
        <family val="1"/>
        <charset val="204"/>
      </rPr>
      <t xml:space="preserve"> литров в сутки на 1 жильца холодной воды.</t>
    </r>
  </si>
  <si>
    <t>Q= (30л.сут.*к-во жильцов  * к-во сут.) / 1000 литров = м3/мес.</t>
  </si>
  <si>
    <t xml:space="preserve">Q=( 30 * </t>
  </si>
  <si>
    <r>
      <t xml:space="preserve">Норма водопотребления  - </t>
    </r>
    <r>
      <rPr>
        <b/>
        <sz val="14"/>
        <rFont val="Times New Roman"/>
        <family val="1"/>
        <charset val="204"/>
      </rPr>
      <t>30</t>
    </r>
    <r>
      <rPr>
        <sz val="14"/>
        <rFont val="Times New Roman"/>
        <family val="1"/>
        <charset val="204"/>
      </rPr>
      <t xml:space="preserve"> литров в сутки на 1 жильца горячей воды.</t>
    </r>
  </si>
  <si>
    <t>Количество жильцов общежития с общими душевыми :</t>
  </si>
  <si>
    <t>Q= (50л.сут.*к-во жильцов  * к-во сут.) / 1000 литров = м3/мес.</t>
  </si>
  <si>
    <r>
      <t xml:space="preserve">Норма водопотребления  - </t>
    </r>
    <r>
      <rPr>
        <b/>
        <sz val="14"/>
        <rFont val="Times New Roman"/>
        <family val="1"/>
        <charset val="204"/>
      </rPr>
      <t>50</t>
    </r>
    <r>
      <rPr>
        <sz val="14"/>
        <rFont val="Times New Roman"/>
        <family val="1"/>
        <charset val="204"/>
      </rPr>
      <t xml:space="preserve"> литров в сутки на 1 жильца холодной воды.</t>
    </r>
  </si>
  <si>
    <r>
      <t xml:space="preserve">Норма водопотребления  - </t>
    </r>
    <r>
      <rPr>
        <b/>
        <sz val="14"/>
        <rFont val="Times New Roman"/>
        <family val="1"/>
        <charset val="204"/>
      </rPr>
      <t>50</t>
    </r>
    <r>
      <rPr>
        <sz val="14"/>
        <rFont val="Times New Roman"/>
        <family val="1"/>
        <charset val="204"/>
      </rPr>
      <t xml:space="preserve"> литров в сутки на 1 жильца горячей воды.</t>
    </r>
  </si>
  <si>
    <r>
      <t xml:space="preserve">Норма водопотребления  - </t>
    </r>
    <r>
      <rPr>
        <b/>
        <sz val="14"/>
        <rFont val="Times New Roman"/>
        <family val="1"/>
        <charset val="204"/>
      </rPr>
      <t>150</t>
    </r>
    <r>
      <rPr>
        <sz val="14"/>
        <rFont val="Times New Roman"/>
        <family val="1"/>
        <charset val="204"/>
      </rPr>
      <t xml:space="preserve"> литров в сутки на 1 жильца холодной воды.</t>
    </r>
  </si>
  <si>
    <t>Q= (150л.сут.*к-во жильцов  * к-во сут.) / 1000 литров = м3/мес.</t>
  </si>
  <si>
    <t xml:space="preserve">Q=(150 * </t>
  </si>
  <si>
    <r>
      <t xml:space="preserve">Норма водопотребления  - </t>
    </r>
    <r>
      <rPr>
        <b/>
        <sz val="14"/>
        <rFont val="Times New Roman"/>
        <family val="1"/>
        <charset val="204"/>
      </rPr>
      <t>150</t>
    </r>
    <r>
      <rPr>
        <sz val="14"/>
        <rFont val="Times New Roman"/>
        <family val="1"/>
        <charset val="204"/>
      </rPr>
      <t xml:space="preserve"> литров в сутки на 1 жильца горячей воды.</t>
    </r>
  </si>
  <si>
    <t>для клубов</t>
  </si>
  <si>
    <t xml:space="preserve">Q=( 4 * </t>
  </si>
  <si>
    <t>для кинотеатров</t>
  </si>
  <si>
    <t>Количество занимаемых мест в  зрительном зале  :</t>
  </si>
  <si>
    <t>Q= (6л.сут.*к-во мест* к-во рабочих дней) / 1000 литров = м3/мес.</t>
  </si>
  <si>
    <t>Количество детей :</t>
  </si>
  <si>
    <t xml:space="preserve">Q=( 75 * </t>
  </si>
  <si>
    <t>Количество проживающих:</t>
  </si>
  <si>
    <r>
      <t xml:space="preserve">Норма водопотребления на 1 проживающего горячей воды - </t>
    </r>
    <r>
      <rPr>
        <b/>
        <sz val="14"/>
        <rFont val="Times New Roman"/>
        <family val="1"/>
        <charset val="204"/>
      </rPr>
      <t>150</t>
    </r>
    <r>
      <rPr>
        <sz val="14"/>
        <rFont val="Times New Roman"/>
        <family val="1"/>
        <charset val="204"/>
      </rPr>
      <t xml:space="preserve"> литров в сутки.</t>
    </r>
  </si>
  <si>
    <t>Q= (150л.сут.*к-во проживающих * к-во рабочих дней) / 1000 литров = м3/мес.</t>
  </si>
  <si>
    <t>Водоразборные краны и колонки на территории гаражного массива:</t>
  </si>
  <si>
    <t xml:space="preserve">Q=( 45 * </t>
  </si>
  <si>
    <t>Количество легковых автомобилей :</t>
  </si>
  <si>
    <t>Q= (1000л.сут.*к-во авто.* к-во рабочих дней) / 1000 литров = м3/мес.</t>
  </si>
  <si>
    <t>Норма водопотребления на 1 автомобиль при механизированной мойке:</t>
  </si>
  <si>
    <t xml:space="preserve">Q=( 1000 * </t>
  </si>
  <si>
    <t>Количество грузовых автомобилей :</t>
  </si>
  <si>
    <t>Q= (1500л.сут.*к-во авто.* к-во рабочих дней) / 1000 литров = м3/мес.</t>
  </si>
  <si>
    <t xml:space="preserve">Q=( 1500 * </t>
  </si>
  <si>
    <t>Количество автобусов :</t>
  </si>
  <si>
    <t>Норма водопотребления на 1 автомобиль ручной мойке:</t>
  </si>
  <si>
    <t>Q= (500л.сут.*к-во авто.* к-во рабочих дней) / 1000 литров = м3/мес.</t>
  </si>
  <si>
    <t xml:space="preserve">Q=( 500 * </t>
  </si>
  <si>
    <t>Q= (700л.сут.*к-во авто.* к-во рабочих дней) / 1000 литров = м3/мес.</t>
  </si>
  <si>
    <t xml:space="preserve">Q=( 700 * </t>
  </si>
  <si>
    <t>Q= (800л.сут.*к-во авто.* к-во рабочих дней) / 1000 литров = м3/мес.</t>
  </si>
  <si>
    <t xml:space="preserve">Q=( 800 * </t>
  </si>
  <si>
    <t>для библиотек и читальных залов</t>
  </si>
  <si>
    <t>Количество работников:</t>
  </si>
  <si>
    <t>Количество посетителей:</t>
  </si>
  <si>
    <t>для бани</t>
  </si>
  <si>
    <t>Количество работников торгового зала и подсобного помещения  :</t>
  </si>
  <si>
    <t>Лаборатория приготовления лекарств:</t>
  </si>
  <si>
    <t>Количество работников помещения лаборатории :</t>
  </si>
  <si>
    <t>для аптек</t>
  </si>
  <si>
    <t>Количество зрителей:</t>
  </si>
  <si>
    <t>Норма водопотребления  - 250 литров в сутки на 1 человека холодной воды.</t>
  </si>
  <si>
    <t>Q=(250 л.сут.*к-во кв-р * 30 дней/месяца*3 чел.(ср.прожив.в одной кв-ре) ) /1000 литров=м3/месяц (х.в).</t>
  </si>
  <si>
    <t xml:space="preserve">Q=( 250 * </t>
  </si>
  <si>
    <t xml:space="preserve">Вернуться к выбору расчёта </t>
  </si>
  <si>
    <t>Для автоматического расчёта нормы водопотребления и водоотведения просим вас заполнить графы</t>
  </si>
  <si>
    <t>1.Решение Мингорисполкома № 199 от 28.01.2021г.</t>
  </si>
  <si>
    <r>
      <t xml:space="preserve">Норма водопотребления на 1 место холодной воды -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 xml:space="preserve"> литра в сутки.</t>
    </r>
  </si>
  <si>
    <t xml:space="preserve">Количество суток:  </t>
  </si>
  <si>
    <t>Q= ( 2 л.сут.* к-во зрителей * к-во суток в месяце) / 1000=м3/мес.</t>
  </si>
  <si>
    <r>
      <t xml:space="preserve">Норма водопотребления на 1 место горячей воды - </t>
    </r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литра в сутки.</t>
    </r>
  </si>
  <si>
    <t>Q= ( 1 л.сут.* к-во зрителей * к-во суток в месяце)/1000=м3/мес.</t>
  </si>
  <si>
    <t xml:space="preserve">Q=( 1 * </t>
  </si>
  <si>
    <t xml:space="preserve"> (в сутки, без учета приема душа)</t>
  </si>
  <si>
    <r>
      <t xml:space="preserve">Норма водопотребления на 1 спортсмена холодной воды - </t>
    </r>
    <r>
      <rPr>
        <b/>
        <sz val="14"/>
        <rFont val="Times New Roman"/>
        <family val="1"/>
        <charset val="204"/>
      </rPr>
      <t>40</t>
    </r>
    <r>
      <rPr>
        <sz val="14"/>
        <rFont val="Times New Roman"/>
        <family val="1"/>
        <charset val="204"/>
      </rPr>
      <t xml:space="preserve"> литров в сутки.</t>
    </r>
  </si>
  <si>
    <t>Q= ( 40л.сут.* к-во спортсм.* к-во рабоч.дней) / 1000 литров =м3/мес.</t>
  </si>
  <si>
    <r>
      <t>Норма водопотребления на 1 спортсмена горячей воды  - 6</t>
    </r>
    <r>
      <rPr>
        <b/>
        <sz val="14"/>
        <rFont val="Times New Roman"/>
        <family val="1"/>
        <charset val="204"/>
      </rPr>
      <t>0</t>
    </r>
    <r>
      <rPr>
        <sz val="14"/>
        <rFont val="Times New Roman"/>
        <family val="1"/>
        <charset val="204"/>
      </rPr>
      <t xml:space="preserve"> литров в сутки.</t>
    </r>
  </si>
  <si>
    <t>Q= ( 60л.сут.* к-во спортсм.* к-во рабоч.дней) / 1000 литров =м3/мес.</t>
  </si>
  <si>
    <t xml:space="preserve">Q=( 60 * </t>
  </si>
  <si>
    <t>Кол-во физкультурников :</t>
  </si>
  <si>
    <r>
      <t>Норма водопотребления на 1 физкультурника холодной воды -</t>
    </r>
    <r>
      <rPr>
        <b/>
        <sz val="14"/>
        <rFont val="Times New Roman"/>
        <family val="1"/>
        <charset val="204"/>
      </rPr>
      <t xml:space="preserve"> 20</t>
    </r>
    <r>
      <rPr>
        <sz val="14"/>
        <rFont val="Times New Roman"/>
        <family val="1"/>
        <charset val="204"/>
      </rPr>
      <t xml:space="preserve"> л. в сутки.</t>
    </r>
  </si>
  <si>
    <r>
      <t>Норма водопотребления на 1 физкультурника горячей воды  - 3</t>
    </r>
    <r>
      <rPr>
        <b/>
        <sz val="14"/>
        <rFont val="Times New Roman"/>
        <family val="1"/>
        <charset val="204"/>
      </rPr>
      <t>0</t>
    </r>
    <r>
      <rPr>
        <sz val="14"/>
        <rFont val="Times New Roman"/>
        <family val="1"/>
        <charset val="204"/>
      </rPr>
      <t xml:space="preserve"> литров в сутки.</t>
    </r>
  </si>
  <si>
    <t>Норма водопотребления на 1 койко-место холодной воды - 40 литров в сутки.</t>
  </si>
  <si>
    <t>Q= (40л.сут. * к-во койко-мест * к-во дней м-ца) / 1000литров = м3/мес.</t>
  </si>
  <si>
    <t>Норма водопотребления на 1 койко-место горячей воды - 75 литров в сутки.</t>
  </si>
  <si>
    <t>Q= (75л.сут. * к-во койко-мест * к-во дней м-ца) / 1000литров = м3/мес.</t>
  </si>
  <si>
    <t>больницы</t>
  </si>
  <si>
    <t>Больницы с общими душевыми и ваннами:</t>
  </si>
  <si>
    <t>Больницы с санитарными узлами, приближенными к палатам:</t>
  </si>
  <si>
    <t>Норма водопотребления на 1 койко-место холодной воды - 110 литров в сутки.</t>
  </si>
  <si>
    <t>Q= (110л.сут. * к-во койко-мест * к-во дней м-ца) / 1000литров = м3/мес.</t>
  </si>
  <si>
    <t xml:space="preserve">Q=( 110 * </t>
  </si>
  <si>
    <t>Норма водопотребления на 1 койко-место горячей воды - 90 литров в сутки.</t>
  </si>
  <si>
    <t>Q= (90л.сут. * к-во койко-мест * к-во дней м-ца) / 1000литров = м3/мес.</t>
  </si>
  <si>
    <t xml:space="preserve">Q=( 90 * </t>
  </si>
  <si>
    <t>Инфекционные:</t>
  </si>
  <si>
    <t>Норма водопотребления на 1 койко-место холодной воды - 130 литров в сутки.</t>
  </si>
  <si>
    <t>Q= (130л.сут. * к-во койко-мест * к-во дней м-ца) / 1000литров = м3/мес.</t>
  </si>
  <si>
    <t>Норма водопотребления на 1 койко-место горячей воды - 110 литров в сутки.</t>
  </si>
  <si>
    <t>Q=(400л.сут.* к-во работ.* к-во рабочих дней) / 1000 литров = м3/мес.</t>
  </si>
  <si>
    <t xml:space="preserve">Q=( 400 * </t>
  </si>
  <si>
    <r>
      <t xml:space="preserve">Норма водопотребления на 1 работника горячей воды - </t>
    </r>
    <r>
      <rPr>
        <b/>
        <sz val="14"/>
        <rFont val="Times New Roman"/>
        <family val="1"/>
        <charset val="204"/>
      </rPr>
      <t>60</t>
    </r>
    <r>
      <rPr>
        <sz val="14"/>
        <rFont val="Times New Roman"/>
        <family val="1"/>
        <charset val="204"/>
      </rPr>
      <t xml:space="preserve"> литров в сутки. </t>
    </r>
  </si>
  <si>
    <t>Q=( 60л.сут.* к-во работ.* к-во рабочих дней) / 1000 литров = м3/мес.</t>
  </si>
  <si>
    <t>Q=(255л.сут.* к-во работ.* к-во рабочих дней) / 1000 литров = м3/мес.</t>
  </si>
  <si>
    <t xml:space="preserve">Q=( 255 * </t>
  </si>
  <si>
    <t>Q=( 55л.сут.* к-во работ.* к-во рабочих дней) / 1000 литров = м3/мес.</t>
  </si>
  <si>
    <t xml:space="preserve">Q=( 55 * </t>
  </si>
  <si>
    <t>Q=(110л.сут.* к-во работ.* к-во рабочих дней) / 1000 литров = м3/мес.</t>
  </si>
  <si>
    <t xml:space="preserve">Норма водопотребления на 1 работника горячей воды - 15 литров в сутки. </t>
  </si>
  <si>
    <t>Q=( 15л.сут.* к-во работ.* к-во рабочих дней) / 1000 литров = м3/мес.</t>
  </si>
  <si>
    <t xml:space="preserve">Q=( 15 * </t>
  </si>
  <si>
    <t xml:space="preserve">Естественных наук: </t>
  </si>
  <si>
    <t>Q=(7л.сут.* к-во работ.* к-во рабочих дней) / 1000 литров = м3/мес.</t>
  </si>
  <si>
    <t xml:space="preserve">Норма водопотребления на 1 работника горячей воды - 5 литров в сутки. </t>
  </si>
  <si>
    <t>Q=( 5л.сут.* к-во работ.* к-во рабочих дней) / 1000 литров = м3/мес.</t>
  </si>
  <si>
    <t xml:space="preserve">Q=( 5 * </t>
  </si>
  <si>
    <r>
      <t xml:space="preserve">Норма водопотребления на 1 работника горячей воды - </t>
    </r>
    <r>
      <rPr>
        <b/>
        <sz val="14"/>
        <rFont val="Times New Roman"/>
        <family val="1"/>
        <charset val="204"/>
      </rPr>
      <t>55</t>
    </r>
    <r>
      <rPr>
        <sz val="14"/>
        <rFont val="Times New Roman"/>
        <family val="1"/>
        <charset val="204"/>
      </rPr>
      <t xml:space="preserve"> литров в сутки. </t>
    </r>
  </si>
  <si>
    <t>Норма водопотребления  - 270 литров в сутки на 1 человека холодной воды.</t>
  </si>
  <si>
    <t>Q=(270 л.сут.*к-во кв-р * 30 дней/месяца*3 чел.(ср.прожив.в одной кв-ре) ) /1000 литров=м3/месяц (х.в).</t>
  </si>
  <si>
    <t xml:space="preserve">Q=( 270 * </t>
  </si>
  <si>
    <t>Санитарное содержание вспомогательных помещений жилых домов</t>
  </si>
  <si>
    <t>(лестничные площадки и марши, вестибюли, окна, лифты):</t>
  </si>
  <si>
    <t xml:space="preserve">лестничных площадок и маршей </t>
  </si>
  <si>
    <r>
      <t>Норма водопотребления – 0,43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литров в месяц на 1м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</si>
  <si>
    <t>Q = ( 0,43 лит.в месяц *кол. кв.метров площади) / 1000литров = м3/месяц.</t>
  </si>
  <si>
    <t xml:space="preserve">мест общего пользования </t>
  </si>
  <si>
    <r>
      <t>Норма водопотребления – 3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литра в месяц на 1м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</si>
  <si>
    <t>Q = ( 3 лит.в месяц *кол. кв.метров площади) / 1000литров = м3/месяц.</t>
  </si>
  <si>
    <t>Техническое содержание внутридомовых инженерных систем жилого дома:</t>
  </si>
  <si>
    <t>Обращение с твердыми коммунальные отходами:</t>
  </si>
  <si>
    <t xml:space="preserve">мусороприемной камеры </t>
  </si>
  <si>
    <r>
      <t>Норма водопотребления – 4,27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литров в месяц на 1м</t>
    </r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</si>
  <si>
    <t>Q = ( 4,27 лит.в месяц *кол. кв.метров площади) / 1000литров = м3/месяц.</t>
  </si>
  <si>
    <t>Поливка газонов и цветников (40 раз в сезон):</t>
  </si>
  <si>
    <r>
      <t>Норма водопотребления – на одну поливку 5 литров  на 1м</t>
    </r>
    <r>
      <rPr>
        <vertAlign val="superscript"/>
        <sz val="14"/>
        <rFont val="Times New Roman"/>
        <family val="1"/>
        <charset val="204"/>
      </rPr>
      <t xml:space="preserve">2   </t>
    </r>
    <r>
      <rPr>
        <sz val="14"/>
        <rFont val="Times New Roman"/>
        <family val="1"/>
        <charset val="204"/>
      </rPr>
      <t>.</t>
    </r>
  </si>
  <si>
    <t>Норма водопотребления на 1 работника  холодной воды - 7 литров в сутки.</t>
  </si>
  <si>
    <t>Q= (7л.сут.*к-во работников* к-во рабочих дней) / 1000 литров = м3/мес.</t>
  </si>
  <si>
    <t>Норма водопотребления на 1 работника горячей воды - 5 литров в сутки.</t>
  </si>
  <si>
    <t>Q= (5л.сут.* к-во работников* к-во рабочих дней) / 1000 литров = м3/мес.</t>
  </si>
  <si>
    <t xml:space="preserve">Q=( 5* </t>
  </si>
  <si>
    <t>для школ-интернатов</t>
  </si>
  <si>
    <t>Количество преподавателей:</t>
  </si>
  <si>
    <t>Норма водопотребления на 1 учащегося  холодной воды - 6,3 литров в сутки.</t>
  </si>
  <si>
    <t xml:space="preserve">Q=( 6,3 * </t>
  </si>
  <si>
    <r>
      <t xml:space="preserve">Норма водопотребления на 1 учащегося горячей воды - </t>
    </r>
    <r>
      <rPr>
        <b/>
        <sz val="14"/>
        <rFont val="Times New Roman"/>
        <family val="1"/>
        <charset val="204"/>
      </rPr>
      <t>2,7</t>
    </r>
    <r>
      <rPr>
        <sz val="14"/>
        <rFont val="Times New Roman"/>
        <family val="1"/>
        <charset val="204"/>
      </rPr>
      <t xml:space="preserve"> литров в сутки.</t>
    </r>
  </si>
  <si>
    <t xml:space="preserve">Q=( 2,7 * </t>
  </si>
  <si>
    <t>Норма водопотребления на 1 преподавателя  холодной воды - 6,3 литров в сутки.</t>
  </si>
  <si>
    <t>Норма водопотребления на 1 преподавателя горячей воды - 2,7 литров в сутки.</t>
  </si>
  <si>
    <t>Q= (6,3л.сут.*к-во преподавателей * к-во рабочих дней) / 1000 литров = м3/мес.</t>
  </si>
  <si>
    <t>Q= (2,7л.сут.* к-во преподавателя * к-во рабочих дней) / 1000 литров = м3/мес.</t>
  </si>
  <si>
    <t>Q= (6,3л.сут.*к-во учащихся* к-во рабочих дней) / 1000 литров = м3/мес.</t>
  </si>
  <si>
    <t>Q= (2,7л.сут.* к-во учащихся* к-во рабочих дней) / 1000 литров = м3/мес.</t>
  </si>
  <si>
    <t>Количество спальных мест:</t>
  </si>
  <si>
    <t>Школы -интернаты с помещениями учебными (с душевыми при гимнастических залах):</t>
  </si>
  <si>
    <t>(на 1 учащегося литров в сутки, на 1 преподавателя литров в сутки):</t>
  </si>
  <si>
    <t>Школы -интернаты с помещениями спальными (на 1 место литров в сутки):</t>
  </si>
  <si>
    <r>
      <t xml:space="preserve">Норма водопотребления на 1 место  холодной воды - </t>
    </r>
    <r>
      <rPr>
        <b/>
        <sz val="14"/>
        <rFont val="Times New Roman"/>
        <family val="1"/>
        <charset val="204"/>
      </rPr>
      <t>40</t>
    </r>
    <r>
      <rPr>
        <sz val="14"/>
        <rFont val="Times New Roman"/>
        <family val="1"/>
        <charset val="204"/>
      </rPr>
      <t xml:space="preserve"> литров в сутки.</t>
    </r>
  </si>
  <si>
    <t>Q= (40л.сут.*к-во мест* к-во рабочих дней) / 1000 литров = м3/мес.</t>
  </si>
  <si>
    <t>Q= (30л.сут.* к-во мест* к-во рабочих дней) / 1000 литров = м3/мес.</t>
  </si>
  <si>
    <r>
      <t xml:space="preserve">Норма водопотребления на 1 место горячей воды - </t>
    </r>
    <r>
      <rPr>
        <b/>
        <sz val="14"/>
        <rFont val="Times New Roman"/>
        <family val="1"/>
        <charset val="204"/>
      </rPr>
      <t>30</t>
    </r>
    <r>
      <rPr>
        <sz val="14"/>
        <rFont val="Times New Roman"/>
        <family val="1"/>
        <charset val="204"/>
      </rPr>
      <t xml:space="preserve"> литров в сутки.</t>
    </r>
  </si>
  <si>
    <t xml:space="preserve">для общеобразовательных школ </t>
  </si>
  <si>
    <t>Норма водопотребления на 1 преподавателя в смену  холодной воды -7 литров в сутки.</t>
  </si>
  <si>
    <t xml:space="preserve">Q=( 3 * </t>
  </si>
  <si>
    <t>Норма водопотребления на 1 преподавателя в смену горячей воды - 3 литра в сутки.</t>
  </si>
  <si>
    <t>Норма водопотребления на 1 учащегося холодной воды - 7 литров в сутки.</t>
  </si>
  <si>
    <t>Q= (7л.сут.*к-во учащихся* к-во рабочих дней) / 1000 литров = м3/мес.</t>
  </si>
  <si>
    <t xml:space="preserve">Q=(7 * </t>
  </si>
  <si>
    <t>Норма водопотребления на 1 учащегося горячей воды - 3 литра в сутки.</t>
  </si>
  <si>
    <t>Q= (3л.сут.* к-во учащегося* к-во рабочих дней) / 1000 литров = м3/мес.</t>
  </si>
  <si>
    <t xml:space="preserve">Q=(3 * </t>
  </si>
  <si>
    <t>Общеобразовательные школы с продленным днем</t>
  </si>
  <si>
    <t>Норма водопотребления на 1 преподавателя в смену  холодной воды -8,6 литров в сутки.</t>
  </si>
  <si>
    <t>Норма водопотребления на 1 преподавателя в смену горячей воды - 3,4 литра в сутки.</t>
  </si>
  <si>
    <t>Норма водопотребления на 1 учащегося холодной воды - 8,6 литров в сутки.</t>
  </si>
  <si>
    <t>Q= (8,6л.сут.*к-во учащихся* к-во рабочих дней) / 1000 литров = м3/мес.</t>
  </si>
  <si>
    <t xml:space="preserve">Q=(8,6 * </t>
  </si>
  <si>
    <t>Норма водопотребления на 1 учащегося горячей воды - 3,4 литра в сутки.</t>
  </si>
  <si>
    <t>Q= (3,4л.сут.* к-во учащегося* к-во рабочих дней) / 1000 литров = м3/мес.</t>
  </si>
  <si>
    <t xml:space="preserve">Q=(3,4 * </t>
  </si>
  <si>
    <t>Q= (11,2л.сут.*к-во препод. * к-во рабочих дней) / 1000 литров = м3/мес.</t>
  </si>
  <si>
    <t xml:space="preserve">Q=( 11,2 * </t>
  </si>
  <si>
    <t>Норма водопотребления на 1 преподавателя горячей воды - 6 литров в сутки.</t>
  </si>
  <si>
    <t>Q= (6л.сут.* к-во препод. * к-во рабочих дней) / 1000 литров = м3/мес.</t>
  </si>
  <si>
    <r>
      <t xml:space="preserve">Норма водопотребления на 1 учащегося  холодной воды - </t>
    </r>
    <r>
      <rPr>
        <b/>
        <sz val="14"/>
        <rFont val="Times New Roman"/>
        <family val="1"/>
        <charset val="204"/>
      </rPr>
      <t>11,2</t>
    </r>
    <r>
      <rPr>
        <sz val="14"/>
        <rFont val="Times New Roman"/>
        <family val="1"/>
        <charset val="204"/>
      </rPr>
      <t xml:space="preserve"> литров в сутки.</t>
    </r>
  </si>
  <si>
    <t>Q= (11,2л.сут.*к-во учащегося* к-во рабочих дней) / 1000 литров = м3/мес.</t>
  </si>
  <si>
    <t>Норма водопотребления на 1 учащегося горячей воды - 6 литров в сутки.</t>
  </si>
  <si>
    <t>Q= (6л.сут.* к-во учащихся* к-во рабочих дней) / 1000 литров = м3/мес.</t>
  </si>
  <si>
    <r>
      <t>Норма водопотребления на 1 преподавателя холодной воды -</t>
    </r>
    <r>
      <rPr>
        <b/>
        <sz val="14"/>
        <rFont val="Times New Roman"/>
        <family val="1"/>
        <charset val="204"/>
      </rPr>
      <t>11,2</t>
    </r>
    <r>
      <rPr>
        <sz val="14"/>
        <rFont val="Times New Roman"/>
        <family val="1"/>
        <charset val="204"/>
      </rPr>
      <t xml:space="preserve"> литров в сутки.</t>
    </r>
  </si>
  <si>
    <t>Норма водопотребления на 1 зрителя  холодной воды - 5 литров в сутки.</t>
  </si>
  <si>
    <t>Q= (5л.сут.*к-во зрителей* к-во рабочих дней) / 1000 литров = м3/мес.</t>
  </si>
  <si>
    <t>Норма водопотребления на 1 зрителя горячей воды - 5 литров в сутки.</t>
  </si>
  <si>
    <t>Q= (5л.сут.* к-во зрителей* к-во рабочих дней) / 1000 литров = м3/мес.</t>
  </si>
  <si>
    <t>Норма водопотребления на 1 человека холодной воды -15 литров в сутки.</t>
  </si>
  <si>
    <t>Q= (15л.сут.*к-во человек. * к-во рабочих дней) / 1000 литров = м3/мес.</t>
  </si>
  <si>
    <t>Норма водопотребления на 1 человека горячей воды - 25 литров в сутки.</t>
  </si>
  <si>
    <t>Q= (25л.сут.* к-во человек * к-во рабочих дней) / 1000 литров = м3/мес.</t>
  </si>
  <si>
    <t xml:space="preserve">Q=( 25 * </t>
  </si>
  <si>
    <t>для предприятий общественного питания</t>
  </si>
  <si>
    <t>Кол-во усл.блюд</t>
  </si>
  <si>
    <t xml:space="preserve">Для реализации пищи в обеденном зале на 1 усл.блюдо литров в  сутки </t>
  </si>
  <si>
    <t>Норма водопотребления на 1 усл. блюдо  холодной воды -8 литров в сутки.</t>
  </si>
  <si>
    <t>Q= (8л.сут.*к-во усл. блюд * к-во рабочих дней) / 1000 литров = м3/мес.</t>
  </si>
  <si>
    <t>Норма водопотребления на 1 усл. блюдо горячей воды - 4 литра в сутки.</t>
  </si>
  <si>
    <t>Q= (4л.сут.* к-во усл. блюд * к-во рабочих дней) / 1000 литров = м3/мес.</t>
  </si>
  <si>
    <t xml:space="preserve">Для реализации пищи продаваемой на дом на 1 усл.блюдо литров в  сутки </t>
  </si>
  <si>
    <t>Норма водопотребления на 1 усл. блюдо  холодной воды -7 литров в сутки.</t>
  </si>
  <si>
    <t>Q= (7л.сут.*к-во усл. блюд * к-во рабочих дней) / 1000 литров = м3/мес.</t>
  </si>
  <si>
    <t>Норма водопотребления на 1 усл. блюдо горячей воды - 3 литра в сутки.</t>
  </si>
  <si>
    <t>Q= (3л.сут.* к-во усл. блюд * к-во рабочих дней) / 1000 литров = м3/мес.</t>
  </si>
  <si>
    <t>на 1 тонну 3600 литров в сутки холодной воды.</t>
  </si>
  <si>
    <t>Q= (3600л.сут*к-во тонн * к-во рабочих дней) / 1000 литров = м3/мес.</t>
  </si>
  <si>
    <t xml:space="preserve">Q=(3600* </t>
  </si>
  <si>
    <t>на 1 тонну  3100 литров в сутки горячей воды.</t>
  </si>
  <si>
    <t>Q= (3100л.сут*к-во тонн * к-во рабочих дней) / 1000 литров = м3/мес.</t>
  </si>
  <si>
    <t xml:space="preserve">Q=(3100* </t>
  </si>
  <si>
    <t>на 1 тонну 5700 литров в сутки холодной воды.</t>
  </si>
  <si>
    <t>на 1 тонну 700 литров в сутки горячей воды.</t>
  </si>
  <si>
    <t>Q= (5700л.сут*к-во тонн * к-во рабочих дней) / 1000 литров = м3/мес.</t>
  </si>
  <si>
    <t xml:space="preserve">Q=(5700* </t>
  </si>
  <si>
    <t>Q= (700л.сут*к-во тонн * к-во рабочих дней) / 1000 литров = м3/мес.</t>
  </si>
  <si>
    <t xml:space="preserve">Q=(700* </t>
  </si>
  <si>
    <t>на 1 тонну 800 литров в сутки горячей воды.</t>
  </si>
  <si>
    <t>Q= (800л.сут*к-во тонн * к-во рабочих дней) / 1000 литров = м3/мес.</t>
  </si>
  <si>
    <t xml:space="preserve">Q=(800* </t>
  </si>
  <si>
    <t>на 1 тонну 6500 литров в сутки холодной воды.</t>
  </si>
  <si>
    <t>Q= (6500л.сут*к-во тонн * к-во рабочих дней) / 1000 литров = м3/мес.</t>
  </si>
  <si>
    <t xml:space="preserve">Q=(6500* </t>
  </si>
  <si>
    <t>на 1 тонну 1200 литров в сутки горячей воды.</t>
  </si>
  <si>
    <t>Q= (1200л.сут*к-во тонн * к-во рабочих дней) / 1000 литров = м3/мес.</t>
  </si>
  <si>
    <t xml:space="preserve">Q=(1200* </t>
  </si>
  <si>
    <t>для  магазинов</t>
  </si>
  <si>
    <t>Количество  работников в смену (20кв. м. торгов. зала) :</t>
  </si>
  <si>
    <t xml:space="preserve">Q=( 65 * </t>
  </si>
  <si>
    <t>Для продовольственных магазинов:</t>
  </si>
  <si>
    <t>Для промтоварных магазинов:</t>
  </si>
  <si>
    <t>Количество  работников в смену:</t>
  </si>
  <si>
    <t>Количество больных в смену литров в сутки:</t>
  </si>
  <si>
    <t>Норма водопотребления на 1 больного в смену  холодной воды -7,8 литров в сутки.</t>
  </si>
  <si>
    <t xml:space="preserve">Q=( 7,8 * </t>
  </si>
  <si>
    <t xml:space="preserve">Q=( 5,2 * </t>
  </si>
  <si>
    <t>Норма водопотребления на 1 рабочее место в смену холодной воды -23 литра в сутки.</t>
  </si>
  <si>
    <t>Норма водопотребления на 1 рабочее место в смену горячей воды - 33 литра в сутки</t>
  </si>
  <si>
    <t>Норма водопотребления на 1 работника холодной воды -7 литров в сутки.</t>
  </si>
  <si>
    <t>Q= (7л.сут.*к-во работ.* к-во рабочих дней) / 1000 литров = м3/мес.</t>
  </si>
  <si>
    <t>Q= (5л.сут.*к-во работ.* к-во рабочих дней) / 1000 литров = м3/мес.</t>
  </si>
  <si>
    <t>для административных зданий, помещений</t>
  </si>
  <si>
    <t>Детский оздор. лагерь со столовой, работающей на сырье, и прачечной</t>
  </si>
  <si>
    <t>Количество смен  :</t>
  </si>
  <si>
    <r>
      <t>Норма водопотребления на 1 место холодной воды -</t>
    </r>
    <r>
      <rPr>
        <b/>
        <sz val="14"/>
        <rFont val="Times New Roman"/>
        <family val="1"/>
        <charset val="204"/>
      </rPr>
      <t>160</t>
    </r>
    <r>
      <rPr>
        <sz val="14"/>
        <rFont val="Times New Roman"/>
        <family val="1"/>
        <charset val="204"/>
      </rPr>
      <t xml:space="preserve"> литров в сутки на 1  место.</t>
    </r>
  </si>
  <si>
    <t xml:space="preserve">Q=( 160* </t>
  </si>
  <si>
    <t>Норма водопотребления на 1 место горячей воды -40 литров в сутки на 1 место.</t>
  </si>
  <si>
    <t xml:space="preserve">Q=( 40* </t>
  </si>
  <si>
    <t>и стиркой белья в централизованных прачечных:</t>
  </si>
  <si>
    <t xml:space="preserve">Детский оздор. лагерь со столовой, работающей на полуфабрикатах, </t>
  </si>
  <si>
    <t>Норма водопотребления на 1 место холодной воды -25 литров в сутки на 1  место.</t>
  </si>
  <si>
    <t>Норма водопотребления на 1 место горячей воды -30 литров в сутки на 1 место.</t>
  </si>
  <si>
    <t xml:space="preserve">Q=( 30* </t>
  </si>
  <si>
    <t>Количество жильцов общежития с душевыми при жилых комнатах :</t>
  </si>
  <si>
    <r>
      <t>Норма водопотребления  - 6</t>
    </r>
    <r>
      <rPr>
        <b/>
        <sz val="14"/>
        <rFont val="Times New Roman"/>
        <family val="1"/>
        <charset val="204"/>
      </rPr>
      <t>0</t>
    </r>
    <r>
      <rPr>
        <sz val="14"/>
        <rFont val="Times New Roman"/>
        <family val="1"/>
        <charset val="204"/>
      </rPr>
      <t xml:space="preserve"> литров в сутки на 1 жильца горячей воды.</t>
    </r>
  </si>
  <si>
    <t>Q= (60л.сут.*к-во жильцов  * к-во сут.) / 1000 литров = м3/мес.</t>
  </si>
  <si>
    <t>Количество жильцов общежития с общими кухнями и душевыми</t>
  </si>
  <si>
    <t>при жилых комнатах в каждой секции здания:</t>
  </si>
  <si>
    <r>
      <t>Норма водопотребления  - 8</t>
    </r>
    <r>
      <rPr>
        <b/>
        <sz val="14"/>
        <rFont val="Times New Roman"/>
        <family val="1"/>
        <charset val="204"/>
      </rPr>
      <t>0</t>
    </r>
    <r>
      <rPr>
        <sz val="14"/>
        <rFont val="Times New Roman"/>
        <family val="1"/>
        <charset val="204"/>
      </rPr>
      <t xml:space="preserve"> литров в сутки на 1 жильца холодной воды.</t>
    </r>
  </si>
  <si>
    <t>Q= (80л.сут.*к-во жильцов  * к-во сут.) / 1000 литров = м3/мес.</t>
  </si>
  <si>
    <t xml:space="preserve">Q=( 80 * </t>
  </si>
  <si>
    <r>
      <t>Норма водопотребления  - 8</t>
    </r>
    <r>
      <rPr>
        <b/>
        <sz val="14"/>
        <rFont val="Times New Roman"/>
        <family val="1"/>
        <charset val="204"/>
      </rPr>
      <t>0</t>
    </r>
    <r>
      <rPr>
        <sz val="14"/>
        <rFont val="Times New Roman"/>
        <family val="1"/>
        <charset val="204"/>
      </rPr>
      <t xml:space="preserve"> литров в сутки на 1 жильца горячей воды.</t>
    </r>
  </si>
  <si>
    <t>Количество жильцов общежития с полной степенью благоустройства (квартирного типа) :</t>
  </si>
  <si>
    <t>Норма водопотребления на 1 место холодной воды -6 литров в сутки.</t>
  </si>
  <si>
    <t>Норма водопотребления на 1 работника горячей воды - 2,6 литра в сутки.</t>
  </si>
  <si>
    <r>
      <t>Норма водопотребления на 1 место холодной воды -</t>
    </r>
    <r>
      <rPr>
        <b/>
        <sz val="14"/>
        <rFont val="Times New Roman"/>
        <family val="1"/>
        <charset val="204"/>
      </rPr>
      <t xml:space="preserve"> 2,5 </t>
    </r>
    <r>
      <rPr>
        <sz val="14"/>
        <rFont val="Times New Roman"/>
        <family val="1"/>
        <charset val="204"/>
      </rPr>
      <t>литров в сутки.</t>
    </r>
  </si>
  <si>
    <t>Q= (2,5л.сут.*к-во мест* к-во рабочих дней) / 1000 литров = м3/мес.</t>
  </si>
  <si>
    <t>Норма водопотребления на 1 место горячей воды - 1,5 литра в сутки.</t>
  </si>
  <si>
    <t>Q= (1,5л.сут.*к-во мест * к-во рабочих дней) / 1000 литров = м3/мес.</t>
  </si>
  <si>
    <t xml:space="preserve">Q=( 1,5 * </t>
  </si>
  <si>
    <r>
      <t>Норма водопотребления на 1 ребенка холодной воды -</t>
    </r>
    <r>
      <rPr>
        <b/>
        <sz val="14"/>
        <rFont val="Times New Roman"/>
        <family val="1"/>
        <charset val="204"/>
      </rPr>
      <t xml:space="preserve"> 10 </t>
    </r>
    <r>
      <rPr>
        <sz val="14"/>
        <rFont val="Times New Roman"/>
        <family val="1"/>
        <charset val="204"/>
      </rPr>
      <t>литров в сутки.</t>
    </r>
  </si>
  <si>
    <t>Q= (10л.сут.*к-во детей * к-во рабочих дней) / 1000 литров = м3/мес.</t>
  </si>
  <si>
    <t>Норма водопотребления на 1 ребенка горячей воды - 11,5 литров в сутки.</t>
  </si>
  <si>
    <t>Q= (11,5л.сут.*к-во детей * к-во рабочих дней) / 1000 литров = м3/мес.</t>
  </si>
  <si>
    <t>(со столовыми, работающими на полуфабрикатах)</t>
  </si>
  <si>
    <t xml:space="preserve">Дет. ясли-сады с дневным пребыванием детей </t>
  </si>
  <si>
    <r>
      <t>Норма водопотребления на 1 ребенка холодной воды -</t>
    </r>
    <r>
      <rPr>
        <b/>
        <sz val="14"/>
        <rFont val="Times New Roman"/>
        <family val="1"/>
        <charset val="204"/>
      </rPr>
      <t xml:space="preserve"> 50 </t>
    </r>
    <r>
      <rPr>
        <sz val="14"/>
        <rFont val="Times New Roman"/>
        <family val="1"/>
        <charset val="204"/>
      </rPr>
      <t>литров в сутки.</t>
    </r>
  </si>
  <si>
    <t>Q= (50л.сут.*к-во детей * к-во рабочих дней) / 1000 литров = м3/мес.</t>
  </si>
  <si>
    <t>Норма водопотребления на 1 ребенка горячей воды - 25 литров в сутки.</t>
  </si>
  <si>
    <t>Q= (25л.сут.*к-во детей * к-во рабочих дней) / 1000 литров = м3/мес.</t>
  </si>
  <si>
    <t xml:space="preserve">Дет. ясли-сады с круглосуточным пребыванием детей </t>
  </si>
  <si>
    <r>
      <t>Норма водопотребления на 1 ребенка холодной воды -</t>
    </r>
    <r>
      <rPr>
        <b/>
        <sz val="14"/>
        <rFont val="Times New Roman"/>
        <family val="1"/>
        <charset val="204"/>
      </rPr>
      <t xml:space="preserve"> 17,6 </t>
    </r>
    <r>
      <rPr>
        <sz val="14"/>
        <rFont val="Times New Roman"/>
        <family val="1"/>
        <charset val="204"/>
      </rPr>
      <t>литров в сутки.</t>
    </r>
  </si>
  <si>
    <t>Q= (17,6л.сут.*к-во детей * к-во рабочих дней) / 1000 литров = м3/мес.</t>
  </si>
  <si>
    <t xml:space="preserve">Q=( 17,6* </t>
  </si>
  <si>
    <t>Норма водопотребления на 1 ребенка горячей воды - 21,4 литров в сутки.</t>
  </si>
  <si>
    <t>Q= (21,4л.сут.*к-во детей * к-во рабочих дней) / 1000 литров = м3/мес.</t>
  </si>
  <si>
    <r>
      <t>Норма водопотребления на 1 ребенка холодной воды -</t>
    </r>
    <r>
      <rPr>
        <b/>
        <sz val="14"/>
        <rFont val="Times New Roman"/>
        <family val="1"/>
        <charset val="204"/>
      </rPr>
      <t xml:space="preserve"> 64,5 </t>
    </r>
    <r>
      <rPr>
        <sz val="14"/>
        <rFont val="Times New Roman"/>
        <family val="1"/>
        <charset val="204"/>
      </rPr>
      <t>литров в сутки.</t>
    </r>
  </si>
  <si>
    <t>Q= (64,5л.сут.*к-во детей * к-во рабочих дней) / 1000 литров = м3/мес.</t>
  </si>
  <si>
    <t>Норма водопотребления на 1 ребенка горячей воды - 28,5 литров в сутки.</t>
  </si>
  <si>
    <t>Q= (28,5л.сут.*к-во детей * к-во рабочих дней) / 1000 литров = м3/мес.</t>
  </si>
  <si>
    <t xml:space="preserve">Дет. ясли-сады с дневным пребыванием детей (со столовыми, работающими </t>
  </si>
  <si>
    <t xml:space="preserve"> на сырье, и прачечными , оборудованными автом. стиральными машинами)</t>
  </si>
  <si>
    <t>детские ясли-сады (с дневным и круглосуточным пребыванием детей)</t>
  </si>
  <si>
    <t xml:space="preserve"> на сырье, и прачечными, оборудованными автом. стиральными машинами)</t>
  </si>
  <si>
    <t xml:space="preserve">Дет. ясли-сады с круглосуточным пребыванием детей (со столовыми, работающими </t>
  </si>
  <si>
    <t>для гостиниц и пансионатов, мотелей</t>
  </si>
  <si>
    <t>с общими душевыми и ваннами</t>
  </si>
  <si>
    <r>
      <t>Норма водопотребления на 1 проживающего  холодной воды -</t>
    </r>
    <r>
      <rPr>
        <b/>
        <sz val="14"/>
        <rFont val="Times New Roman"/>
        <family val="1"/>
        <charset val="204"/>
      </rPr>
      <t xml:space="preserve"> 50 </t>
    </r>
    <r>
      <rPr>
        <sz val="14"/>
        <rFont val="Times New Roman"/>
        <family val="1"/>
        <charset val="204"/>
      </rPr>
      <t>литров в сутки.</t>
    </r>
  </si>
  <si>
    <t>Q= (50л.сут.*к-во проживающих* к-во рабочих дней) / 1000 литров = м3/мес.</t>
  </si>
  <si>
    <t>Норма водопотребления на 1 проживающего горячей воды - 70 литров в сутки.</t>
  </si>
  <si>
    <t>Q= (70л.сут.*к-во проживающих * к-во рабочих дней) / 1000 литров = м3/мес.</t>
  </si>
  <si>
    <t xml:space="preserve">Q=( 70 * </t>
  </si>
  <si>
    <t xml:space="preserve"> - с душами во всех отдельных номерах:</t>
  </si>
  <si>
    <r>
      <t>Норма водопотребления на 1 проживающего  холодной воды -</t>
    </r>
    <r>
      <rPr>
        <b/>
        <sz val="14"/>
        <rFont val="Times New Roman"/>
        <family val="1"/>
        <charset val="204"/>
      </rPr>
      <t xml:space="preserve"> 90 </t>
    </r>
    <r>
      <rPr>
        <sz val="14"/>
        <rFont val="Times New Roman"/>
        <family val="1"/>
        <charset val="204"/>
      </rPr>
      <t>литров в сутки.</t>
    </r>
  </si>
  <si>
    <t>Q= (90л.сут.*к-во проживающих* к-во рабочих дней) / 1000 литров = м3/мес.</t>
  </si>
  <si>
    <r>
      <t xml:space="preserve">Норма водопотребления на 1 проживающего горячей воды - </t>
    </r>
    <r>
      <rPr>
        <b/>
        <sz val="14"/>
        <rFont val="Times New Roman"/>
        <family val="1"/>
        <charset val="204"/>
      </rPr>
      <t>140</t>
    </r>
    <r>
      <rPr>
        <sz val="14"/>
        <rFont val="Times New Roman"/>
        <family val="1"/>
        <charset val="204"/>
      </rPr>
      <t xml:space="preserve"> литров в сутки.</t>
    </r>
  </si>
  <si>
    <t>Q= (140л.сут.*к-во проживающих * к-во рабочих дней) / 1000 литров = м3/мес.</t>
  </si>
  <si>
    <t xml:space="preserve">Q=( 140 * </t>
  </si>
  <si>
    <t xml:space="preserve"> % от общего числа номеров:</t>
  </si>
  <si>
    <t xml:space="preserve"> - с душами во всех отдельных номерах, с ваннами в отдельных номерах, </t>
  </si>
  <si>
    <t>до 25</t>
  </si>
  <si>
    <r>
      <t>Норма водопотребления на 1 проживающего  холодной воды -</t>
    </r>
    <r>
      <rPr>
        <b/>
        <sz val="14"/>
        <rFont val="Times New Roman"/>
        <family val="1"/>
        <charset val="204"/>
      </rPr>
      <t xml:space="preserve"> 100 </t>
    </r>
    <r>
      <rPr>
        <sz val="14"/>
        <rFont val="Times New Roman"/>
        <family val="1"/>
        <charset val="204"/>
      </rPr>
      <t>литров в сутки.</t>
    </r>
  </si>
  <si>
    <t>Q= (100л.сут.*к-во проживающих* к-во рабочих дней) / 1000 литров = м3/мес.</t>
  </si>
  <si>
    <t xml:space="preserve">Q=( 100* </t>
  </si>
  <si>
    <r>
      <t xml:space="preserve">Норма водопотребления на 1 проживающего горячей воды - </t>
    </r>
    <r>
      <rPr>
        <b/>
        <sz val="14"/>
        <rFont val="Times New Roman"/>
        <family val="1"/>
        <charset val="204"/>
      </rPr>
      <t>100</t>
    </r>
    <r>
      <rPr>
        <sz val="14"/>
        <rFont val="Times New Roman"/>
        <family val="1"/>
        <charset val="204"/>
      </rPr>
      <t xml:space="preserve"> литров в сутки.</t>
    </r>
  </si>
  <si>
    <t>Q= (100л.сут.*к-во проживающих * к-во рабочих дней) / 1000 литров = м3/мес.</t>
  </si>
  <si>
    <t>до 75</t>
  </si>
  <si>
    <t>до 100</t>
  </si>
  <si>
    <r>
      <t>Норма водопотребления на 1 проживающего  холодной воды -</t>
    </r>
    <r>
      <rPr>
        <b/>
        <sz val="14"/>
        <rFont val="Times New Roman"/>
        <family val="1"/>
        <charset val="204"/>
      </rPr>
      <t xml:space="preserve"> 120 </t>
    </r>
    <r>
      <rPr>
        <sz val="14"/>
        <rFont val="Times New Roman"/>
        <family val="1"/>
        <charset val="204"/>
      </rPr>
      <t>литров в сутки.</t>
    </r>
  </si>
  <si>
    <t>Q= (120л.сут.*к-во проживающих* к-во рабочих дней) / 1000 литров = м3/мес.</t>
  </si>
  <si>
    <t xml:space="preserve">Q=( 120* </t>
  </si>
  <si>
    <r>
      <t xml:space="preserve">Норма водопотребления на 1 проживающего горячей воды - </t>
    </r>
    <r>
      <rPr>
        <b/>
        <sz val="14"/>
        <rFont val="Times New Roman"/>
        <family val="1"/>
        <charset val="204"/>
      </rPr>
      <t>180</t>
    </r>
    <r>
      <rPr>
        <sz val="14"/>
        <rFont val="Times New Roman"/>
        <family val="1"/>
        <charset val="204"/>
      </rPr>
      <t xml:space="preserve"> литров в сутки.</t>
    </r>
  </si>
  <si>
    <t>Q= (180л.сут.*к-во проживающих * к-во рабочих дней) / 1000 литров = м3/мес.</t>
  </si>
  <si>
    <t xml:space="preserve">Q=( 180 * </t>
  </si>
  <si>
    <t>Норма водопотребления на 1 работника холодной воды -30 литров в сутки.</t>
  </si>
  <si>
    <t>Q= (30л.сут.*к-во работ.* к-во рабочих дней) / 1000 литров = м3/мес.</t>
  </si>
  <si>
    <t>Норма водопотребления на 1 работника горячей воды - 30 литров в сутки.</t>
  </si>
  <si>
    <t>Количество боксов :</t>
  </si>
  <si>
    <t>Норма водопотребления на 1 гаражный бокс – 45 литров в месяц холодной воды.</t>
  </si>
  <si>
    <t>Q= (45л.сут.*к-во боксов) / 1000 литров = м3/мес.</t>
  </si>
  <si>
    <t>для гаражей боксового типа (без мойки) и автостоянки</t>
  </si>
  <si>
    <t>для гаражей с мойкой автомобилей</t>
  </si>
  <si>
    <t>на 1 легковой автомобиль – 1000 литров в сутки</t>
  </si>
  <si>
    <t>на 1 грузовой автомобиль – 1500 литров в сутки</t>
  </si>
  <si>
    <t>на 1 автобус – 1500 литров в сутки</t>
  </si>
  <si>
    <t>на 1 легковой автомобиль – 500 литров в сутки</t>
  </si>
  <si>
    <t xml:space="preserve">на 1 грузовой автомобиль  – 700 литров в сутки </t>
  </si>
  <si>
    <t>на 1 автобус – 800 литров в сутки</t>
  </si>
  <si>
    <t>Q= (5л.сут.*к-во работ * к-во рабочих дней) / 1000 литров = м3/мес.</t>
  </si>
  <si>
    <t>Норма водопотребления на 1 посетителя холодной воды -2,5 литров в сутки.</t>
  </si>
  <si>
    <t>Q= (2,5л.сут.*к-во посетителей* к-во рабочих дней) / 1000 литров = м3/мес.</t>
  </si>
  <si>
    <t xml:space="preserve">Q=( 2,5* </t>
  </si>
  <si>
    <t>Норма водопотребления на 1 посетителя горячей воды - 1,5 литров в сутки.</t>
  </si>
  <si>
    <t>Q= (1,5л.сут.*к-во посетителей* к-во рабочих дней) / 1000 литров = м3/мес.</t>
  </si>
  <si>
    <t>для мытья в мыльной с тазами на скамьях и ополаскиванием в душе:</t>
  </si>
  <si>
    <t>Норма водопотребления на 1 посетителя холодной воды -60 литров в сутки.</t>
  </si>
  <si>
    <t>Норма водопотребления на 1 посещение горячей воды - 120 литров в сутки.</t>
  </si>
  <si>
    <t>Q= (120л.сут.*к-во песещений* к-во рабочих дней) / 1000 литров = м3/мес.</t>
  </si>
  <si>
    <t xml:space="preserve">Q=( 120 * </t>
  </si>
  <si>
    <t>для мытья в мыльной с тазами на скамьях и ополаскиванием в душе,</t>
  </si>
  <si>
    <t>с приемом оздоровительных процедур и ополаскиванием в душе:</t>
  </si>
  <si>
    <t>Норма водопотребления на 1 посетителя холодной воды -100 литров в сутки.</t>
  </si>
  <si>
    <t>Норма водопотребления на 1 посещение горячей воды - 190 литров в сутки.</t>
  </si>
  <si>
    <t xml:space="preserve">Q=( 190 * </t>
  </si>
  <si>
    <t>Q= (60л.сут.*к-во посещений* к-во рабочих дней) / 1000 литров = м3/мес.</t>
  </si>
  <si>
    <t>Душевая кабина:</t>
  </si>
  <si>
    <t>Норма водопотребления на 1 посетителя холодной воды -120 литров в сутки.</t>
  </si>
  <si>
    <t>Норма водопотребления на 1 посещение горячей воды - 240 литров в сутки.</t>
  </si>
  <si>
    <t xml:space="preserve">Q=( 240 * </t>
  </si>
  <si>
    <t>Ванная кабина:</t>
  </si>
  <si>
    <t>Норма водопотребления на 1 посетителя холодной воды -180 литров в сутки.</t>
  </si>
  <si>
    <t xml:space="preserve">Q=( 180* </t>
  </si>
  <si>
    <t>Норма водопотребления на 1 посещение горячей воды - 360 литров в сутки.</t>
  </si>
  <si>
    <t xml:space="preserve">Q=( 360 * </t>
  </si>
  <si>
    <t>Норма водопотребления на 1 работника холодной воды -255 литров в сутки.</t>
  </si>
  <si>
    <t>Норма водопотребления на 1 работника горячей воды - 55 литров в сутки.</t>
  </si>
  <si>
    <t>для заливки катка</t>
  </si>
  <si>
    <t>Количество кв. м  катка (площадь):</t>
  </si>
  <si>
    <t>Норма водопотребления на 1кв метр катка  - 0,5 литра в сутки.</t>
  </si>
  <si>
    <t>Q= (0,5л.сут.*к-во кв. метров* к-во суток) / 1000 литров = м3/мес.</t>
  </si>
  <si>
    <t xml:space="preserve">Q=( 0,5* </t>
  </si>
  <si>
    <t>Количество суток:</t>
  </si>
  <si>
    <t>Жилые дома, оборудованные водопроводом, канализацией и локальным источником горячего водоснабжения:</t>
  </si>
  <si>
    <t>Жилые дома, оборудованные водопроводом, канализацией, централизованным горячим водоснабжением:</t>
  </si>
  <si>
    <t xml:space="preserve">для жилых домов </t>
  </si>
  <si>
    <t>Жилые дома, оборудованные водопроводом, канализацией, без горячего водоснабжения:</t>
  </si>
  <si>
    <t>Норма водопотребления  - 180 литров в сутки на 1 человека холодной воды.</t>
  </si>
  <si>
    <t>Q=(180 л.сут.*к-во кв-р * 30 дней/месяца*3 чел.(ср.прожив.в одной кв-ре) ) /1000 литров=м3/месяц (х.в).</t>
  </si>
  <si>
    <t>Жилые дома, оборудованные водопроводом без канализации (выгребные ямы):</t>
  </si>
  <si>
    <t>Норма водопотребления  - 100 литров в сутки на 1 человека холодной воды.</t>
  </si>
  <si>
    <t>Q=(100 л.сут.*к-во кв-р * 30 дней/месяца*3 чел.(ср.прожив.в одной кв-ре) ) /1000 литров=м3/месяц (х.в).</t>
  </si>
  <si>
    <t>Норма водопотребления  - 45 литров в сутки на 1 человека холодной воды.</t>
  </si>
  <si>
    <t>Q=(45л.сут.*к-во кв-р * 30 дней/месяца*3 чел.(ср.прожив.в одной кв-ре) ) /1000 литров=м3/месяц (х.в).</t>
  </si>
  <si>
    <t>Жилые дома с водопользованием из уличных водоразборных колонок:</t>
  </si>
  <si>
    <t xml:space="preserve">для санаториев и домов отдыха </t>
  </si>
  <si>
    <t>Норма водопотребления на 1 койко-место холодной воды - 80 литров в сутки.</t>
  </si>
  <si>
    <t>Q= (80л.сут. * к-во койко-мест * к-во дней м-ца) / 1000литров = м3/мес.</t>
  </si>
  <si>
    <t>Норма водопотребления на 1 койко-место горячей воды - 120 литров в сутки.</t>
  </si>
  <si>
    <t>Q= (120л.сут. * к-во койко-мест * к-во дней м-ца) / 1000литров = м3/мес.</t>
  </si>
  <si>
    <t>Санатории с ваннами при всех жилых комнатах:</t>
  </si>
  <si>
    <t xml:space="preserve">Санатории с душами при всех жилых комнатах: </t>
  </si>
  <si>
    <t>Норма водопотребления на 1 койко-место холодной воды - 75 литров в сутки.</t>
  </si>
  <si>
    <t>для прачечных</t>
  </si>
  <si>
    <t>Количество кг сухого белья:</t>
  </si>
  <si>
    <t>Прачечные механизированные:</t>
  </si>
  <si>
    <t>Норма водопотребления 50 холодной воды и 25 горячей воды на 1 кг сухого белья литров в сутки:</t>
  </si>
  <si>
    <r>
      <t>Норма водопотребления на 1 кг сухого белья холодной воды -</t>
    </r>
    <r>
      <rPr>
        <b/>
        <sz val="14"/>
        <rFont val="Times New Roman"/>
        <family val="1"/>
        <charset val="204"/>
      </rPr>
      <t xml:space="preserve"> 50 </t>
    </r>
    <r>
      <rPr>
        <sz val="14"/>
        <rFont val="Times New Roman"/>
        <family val="1"/>
        <charset val="204"/>
      </rPr>
      <t>литров в сутки.</t>
    </r>
  </si>
  <si>
    <t>Q= (50л.сут.*к-во кг сух. белья* к-во рабочих дней) / 1000 литров = м3/мес.</t>
  </si>
  <si>
    <t>Норма водопотребления на 1 кг сухого белья горячей воды - 25 литров в сутки.</t>
  </si>
  <si>
    <t>Q= (25л.сут.*к-во кг сух. белья * к-во рабочих дней) / 1000 литров = м3/мес.</t>
  </si>
  <si>
    <t>Прачечные немеханизированные:</t>
  </si>
  <si>
    <t>Норма водопотребления 25 холодной воды и 15 горячей воды на 1 кг сухого белья литров в сутки:</t>
  </si>
  <si>
    <r>
      <t>Норма водопотребления на 1 кг сухого белья холодной воды -</t>
    </r>
    <r>
      <rPr>
        <b/>
        <sz val="14"/>
        <rFont val="Times New Roman"/>
        <family val="1"/>
        <charset val="204"/>
      </rPr>
      <t xml:space="preserve"> 25 </t>
    </r>
    <r>
      <rPr>
        <sz val="14"/>
        <rFont val="Times New Roman"/>
        <family val="1"/>
        <charset val="204"/>
      </rPr>
      <t>литров в сутки.</t>
    </r>
  </si>
  <si>
    <t>Q= (25л.сут.*к-во кг сух. белья* к-во рабочих дней) / 1000 литров = м3/мес.</t>
  </si>
  <si>
    <t>Норма водопотребления на 1 кг сухого белья горячей воды - 15 литров в сутки.</t>
  </si>
  <si>
    <t>Q= (15л.сут.*к-во кг сух. белья * к-во рабочих дней) / 1000 литров = м3/мес.</t>
  </si>
  <si>
    <t xml:space="preserve">Для высших и средне-специальных </t>
  </si>
  <si>
    <t xml:space="preserve">для учебных заведений </t>
  </si>
  <si>
    <t xml:space="preserve">Для профессионально-технических училищ  с душевыми </t>
  </si>
  <si>
    <t>при гимнастических залах и столовыми, работающими на полуфабрикатах.</t>
  </si>
  <si>
    <r>
      <t>Норма водопотребления на 1 преподавателя в смену холодной воды -</t>
    </r>
    <r>
      <rPr>
        <b/>
        <sz val="14"/>
        <rFont val="Times New Roman"/>
        <family val="1"/>
        <charset val="204"/>
      </rPr>
      <t>12</t>
    </r>
    <r>
      <rPr>
        <sz val="14"/>
        <rFont val="Times New Roman"/>
        <family val="1"/>
        <charset val="204"/>
      </rPr>
      <t xml:space="preserve"> литров в сутки.</t>
    </r>
  </si>
  <si>
    <t>Q= (7л.сут.*к-во препод.*к-во смен * к-во рабочих дней) / 1000 литров = м3/мес.</t>
  </si>
  <si>
    <t>Q= (3л.сут.* к-во препод. *к-во смен* к-во рабочих дней) / 1000 литров = м3/мес.</t>
  </si>
  <si>
    <t>Q= (8,6л.сут.*к-во препод. *к-во смен* к-во рабочих дней) / 1000 литров = м3/мес.</t>
  </si>
  <si>
    <t>Q= (3,4л.сут.* к-во препод. *к-во смен* к-во рабочих дней) / 1000 литров = м3/мес.</t>
  </si>
  <si>
    <t>Q= (12л.сут.*к-во препод.*к-во смен * к-во рабочих дней) / 1000 литров = м3/мес.</t>
  </si>
  <si>
    <t>Норма водопотребления на 1 преподавателя в смену горячей воды - 8 литров в сутки.</t>
  </si>
  <si>
    <t>Q= (8л.сут.* к-во препод.*к-во смен * к-во рабочих дней) / 1000 литров = м3/мес.</t>
  </si>
  <si>
    <r>
      <t xml:space="preserve">Норма водопотребления на 1 учащегося  холодной воды - </t>
    </r>
    <r>
      <rPr>
        <b/>
        <sz val="14"/>
        <rFont val="Times New Roman"/>
        <family val="1"/>
        <charset val="204"/>
      </rPr>
      <t>12</t>
    </r>
    <r>
      <rPr>
        <sz val="14"/>
        <rFont val="Times New Roman"/>
        <family val="1"/>
        <charset val="204"/>
      </rPr>
      <t xml:space="preserve"> литров в сутки.</t>
    </r>
  </si>
  <si>
    <t>Q= (12л.сут.*к-во учащегося* к-во рабочих дней) / 1000 литров = м3/мес.</t>
  </si>
  <si>
    <t>Норма водопотребления на 1 учащегося горячей воды - 8 литров в сутки.</t>
  </si>
  <si>
    <t>Q= (8л.сут.* к-во учащихся* к-во рабочих дней) / 1000 литров = м3/мес.</t>
  </si>
  <si>
    <t>для плавательные бассейнов</t>
  </si>
  <si>
    <r>
      <t>Норма водопотребления на 1 место холодной воды -</t>
    </r>
    <r>
      <rPr>
        <b/>
        <sz val="14"/>
        <rFont val="Times New Roman"/>
        <family val="1"/>
        <charset val="204"/>
      </rPr>
      <t xml:space="preserve"> 2 </t>
    </r>
    <r>
      <rPr>
        <sz val="14"/>
        <rFont val="Times New Roman"/>
        <family val="1"/>
        <charset val="204"/>
      </rPr>
      <t>литра в сутки.</t>
    </r>
  </si>
  <si>
    <t>Q= (2 л.сут.*к-во мест* к-во рабочих дней) / 1000 литров = м3/мес.</t>
  </si>
  <si>
    <t>Норма водопотребления на 1 место горячей воды - 1 литра в сутки.</t>
  </si>
  <si>
    <t>Q= (1л.сут.*к-во мест * к-во рабочих дней) / 1000 литров = м3/мес.</t>
  </si>
  <si>
    <t>Количество спортсменов:</t>
  </si>
  <si>
    <r>
      <t>Норма водопотребления на 1 спортсмена (без учета приема душа) холодной воды -</t>
    </r>
    <r>
      <rPr>
        <b/>
        <sz val="14"/>
        <rFont val="Times New Roman"/>
        <family val="1"/>
        <charset val="204"/>
      </rPr>
      <t xml:space="preserve"> 40 </t>
    </r>
    <r>
      <rPr>
        <sz val="14"/>
        <rFont val="Times New Roman"/>
        <family val="1"/>
        <charset val="204"/>
      </rPr>
      <t>литров в сутки.</t>
    </r>
  </si>
  <si>
    <t>Количество рабочих дней:</t>
  </si>
  <si>
    <t>Q= (40 л.сут.*к-во спортсменов* к-во рабочих дней) / 1000 литров = м3/мес.</t>
  </si>
  <si>
    <t>Норма водопотребления на 1 место горячей воды - 60 литров в сутки.</t>
  </si>
  <si>
    <t>Q= (60л.сут.*к-во спортсменов * к-во рабочих дней) / 1000 литров = м3/мес.</t>
  </si>
  <si>
    <t xml:space="preserve">для полива футбольного поля и остальных спортивных сооружений </t>
  </si>
  <si>
    <t>Поливка травяного покрова футбольного поля:</t>
  </si>
  <si>
    <t>Кол-во суток:</t>
  </si>
  <si>
    <t>Норма водопотребления – на 1 кв метр покрова  3 литра в сутки</t>
  </si>
  <si>
    <t>Q = ( 3 лит.в сутки *кол. кв.метров покрова*кол-во суток) / 1000литров = м3/месяц.</t>
  </si>
  <si>
    <t>Кол-во  кв.метров травяного покрова:</t>
  </si>
  <si>
    <t>Поливка травяного покрова остальных спортивных сооружений:</t>
  </si>
  <si>
    <t>Норма водопотребления – на 1 кв метр покрова  0,5 литра в сутки</t>
  </si>
  <si>
    <t>Q = ( 0,5 лит.в сутки *кол. кв.метров покрова*кол-во суток) / 1000литров = м3/месяц.</t>
  </si>
  <si>
    <t xml:space="preserve">Поле для заполнения: </t>
  </si>
  <si>
    <t xml:space="preserve">                        </t>
  </si>
  <si>
    <t>Всего:</t>
  </si>
  <si>
    <t>Q= (185л.сут.*к-во работников *к-во смен* к-во рабочих дней) / 1000 литров = м3/мес.</t>
  </si>
  <si>
    <t>Q= (65л.сут.* к-во работников *к-во смен* к-во рабочих дней) / 1000 литров = м3/мес.</t>
  </si>
  <si>
    <t>Q= (7л.сут.*к-во работников *к-во смен* к-во рабочих дней) / 1000 литров = м3/мес.</t>
  </si>
  <si>
    <t>Q= (23л.сут.*к-во рабочих мест*к-во смен* к-во рабочих дней) / 1000 литров = м3/мес.</t>
  </si>
  <si>
    <t>Q= (33л.сут.*к-во рабочих мест *к-во смен* к-во рабочих дней) / 1000 литров = м3/мес.</t>
  </si>
  <si>
    <t>Q= (2,6 л.сут.*к-во мест* к-во рабочих дней) / 1000 литров = м3/мес.</t>
  </si>
  <si>
    <t>Q= (7л.сут.*к-во работников * к-во рабочих дней) / 1000 литров = м3/мес.</t>
  </si>
  <si>
    <t>Q= (5л.сут.*к-во работников * к-во рабочих дней) / 1000 литров = м3/мес.</t>
  </si>
  <si>
    <t>Q= (255л.сут.*к-во работников * к-во рабочих дней) / 1000 литров = м3/мес.</t>
  </si>
  <si>
    <t>Q= (55л.сут.*к-во работников * к-во рабочих дней) / 1000 литров = м3/мес.</t>
  </si>
  <si>
    <t>для душевых</t>
  </si>
  <si>
    <t>В бытовых помещениях промышленных предприятий:</t>
  </si>
  <si>
    <t>Норма водопотребления на 1 душевую сетку в смену холодной воды - 270 литров в сутки.</t>
  </si>
  <si>
    <t>Норма водопотребления на 1душевую сетку в смену горячей воды - 230 литров в сутки.</t>
  </si>
  <si>
    <t>Количество смен в сутки:</t>
  </si>
  <si>
    <t>Q= (270л.сут.*к-во смен в сутки * к-во рабочих дней) / 1000 литров = м3/мес.</t>
  </si>
  <si>
    <t>Q= (230л.сут.*к-во смен в сутки* к-во рабочих дней) / 1000 литров = м3/мес.</t>
  </si>
  <si>
    <t xml:space="preserve">Q=( 230 * </t>
  </si>
  <si>
    <t>В бытовых помещениях административных зданий:</t>
  </si>
  <si>
    <t>Норма водопотребления на 1 душевую сетку в смену холодной воды - 90 литров в сутки.</t>
  </si>
  <si>
    <t>Q= (90л.сут.*к-во смен в сутки * к-во рабочих дней) / 1000 литров = м3/мес.</t>
  </si>
  <si>
    <t>Норма водопотребления на 1душевую сетку в смену горячей воды - 140 литров в сутки.</t>
  </si>
  <si>
    <t>Q= (140л.сут.*к-во смен в сутки* к-во рабочих дней) / 1000 литров = м3/мес.</t>
  </si>
  <si>
    <t xml:space="preserve">Q=(140 * </t>
  </si>
  <si>
    <t>Душевая кабина с мелким душевым поддоном и смесителем:</t>
  </si>
  <si>
    <t>Количество часов в сутки:</t>
  </si>
  <si>
    <t>Q= (60л.час*к-во часов в сутки * к-во рабочих дней) / 1000 литров = м3/мес.</t>
  </si>
  <si>
    <t>Q= (60л.час *к-во часов в сутки* к-во рабочих дней) / 1000 литров = м3/мес.</t>
  </si>
  <si>
    <t xml:space="preserve">Q=(60 * </t>
  </si>
  <si>
    <t>Душевая кабина с глубоким душевым поддоном и смесителем:</t>
  </si>
  <si>
    <t>Q= (80л.час*к-во часов в сутки * к-во рабочих дней) / 1000 литров = м3/мес.</t>
  </si>
  <si>
    <t>Q= (80л.час *к-во часов в сутки* к-во рабочих дней) / 1000 литров = м3/мес.</t>
  </si>
  <si>
    <t xml:space="preserve">Q=(80 * </t>
  </si>
  <si>
    <t>Душ в групповой установке со смесителем:</t>
  </si>
  <si>
    <t>Q= (230л.час*к-во часов в сутки * к-во рабочих дней) / 1000 литров = м3/мес.</t>
  </si>
  <si>
    <t>Q= (270л.час *к-во часов в сутки* к-во рабочих дней) / 1000 литров = м3/мес.</t>
  </si>
  <si>
    <t xml:space="preserve">Q=(270 * </t>
  </si>
  <si>
    <t>Гигиенический душ (биде) со смесителем и аэратором:</t>
  </si>
  <si>
    <t>Q= (54л.час*к-во часов в сутки * к-во рабочих дней) / 1000 литров = м3/мес.</t>
  </si>
  <si>
    <t xml:space="preserve">Q=( 54 * </t>
  </si>
  <si>
    <t>Q= (54л.час *к-во часов в сутки* к-во рабочих дней) / 1000 литров = м3/мес.</t>
  </si>
  <si>
    <t xml:space="preserve">Q=(54 * </t>
  </si>
  <si>
    <t>Писсуар:</t>
  </si>
  <si>
    <t>Норма водопотребления на 1 душевую кабину  холодной воды - 60 литров в час.</t>
  </si>
  <si>
    <t>Норма водопотребления на 1душевую кабину  горячей воды - 60 литров в час.</t>
  </si>
  <si>
    <t>Норма водопотребления на 1 душевую кабину холодной воды - 80 литров в час.</t>
  </si>
  <si>
    <t>Норма водопотребления на 1душевую кабину  горячей воды - 80 литров в час.</t>
  </si>
  <si>
    <t>Норма водопотребления на 1 душ холодной воды - 230 литров в час.</t>
  </si>
  <si>
    <t>Норма водопотребления на 1душ  горячей воды - 270 литров в час.</t>
  </si>
  <si>
    <t>Норма водопотребления на 1 душ  холодной воды - 54 литров в час.</t>
  </si>
  <si>
    <t>Норма водопотребления на 1душ сетку  горячей воды - 54 литров в час.</t>
  </si>
  <si>
    <t>Норма водопотребления на 1 писсуар  холодной воды - 36 литров в час.</t>
  </si>
  <si>
    <t>Q= (36л.час*к-во часов в сутки * к-во рабочих дней) / 1000 литров = м3/мес.</t>
  </si>
  <si>
    <t xml:space="preserve">Q=( 36 * </t>
  </si>
  <si>
    <t>Внутрихозяйственные нужды общежития:</t>
  </si>
  <si>
    <t>Q= ( 20л.сут.* к-во физкульт.* к-во рабоч.дней) / 1000 литров =м3/мес.</t>
  </si>
  <si>
    <t>Q= ( 30л.сут.* к-во физкульт.* к-во рабоч.дней) / 1000 литров =м3/мес.</t>
  </si>
  <si>
    <t>Q=( 0,43*</t>
  </si>
  <si>
    <t>=</t>
  </si>
  <si>
    <t xml:space="preserve">) /1000 </t>
  </si>
  <si>
    <t>Количество дней месяца:</t>
  </si>
  <si>
    <t>Q=(</t>
  </si>
  <si>
    <t>3*</t>
  </si>
  <si>
    <t xml:space="preserve">Q=( 4,27 * </t>
  </si>
  <si>
    <t>Q=( 12*</t>
  </si>
  <si>
    <t>) /1000 =</t>
  </si>
  <si>
    <t>Количество смен:</t>
  </si>
  <si>
    <t xml:space="preserve">Q=(185 * </t>
  </si>
  <si>
    <t>Количество смен :</t>
  </si>
  <si>
    <t>Q=( 7 *</t>
  </si>
  <si>
    <t>Q= (5л.сут.*к-во работников *к-во смен* к-во рабочих дней) / 1000 литров = м3/мес.</t>
  </si>
  <si>
    <t xml:space="preserve">Q=( 23*  </t>
  </si>
  <si>
    <t>Q=( 33*</t>
  </si>
  <si>
    <t>Количество месяцев:</t>
  </si>
  <si>
    <t>Q= (160л.сут.*к-во мест.* к-во дней в смену * к-во смен) /(кол-во месяцев * 1000 литров) = м3/мес.</t>
  </si>
  <si>
    <t>)/(</t>
  </si>
  <si>
    <t xml:space="preserve">*1000)= </t>
  </si>
  <si>
    <t xml:space="preserve">Q=(25* </t>
  </si>
  <si>
    <t xml:space="preserve">)/( </t>
  </si>
  <si>
    <t xml:space="preserve">*1000) = </t>
  </si>
  <si>
    <t xml:space="preserve">Q=( 2,6* </t>
  </si>
  <si>
    <t>Q=( 2,5*</t>
  </si>
  <si>
    <t xml:space="preserve">Q=( 1,5* </t>
  </si>
  <si>
    <t xml:space="preserve">Q=( 11,5* </t>
  </si>
  <si>
    <t xml:space="preserve">Q=( 21,4* </t>
  </si>
  <si>
    <t xml:space="preserve">Q=( 64,5* </t>
  </si>
  <si>
    <t xml:space="preserve">Q=( 28,5* </t>
  </si>
  <si>
    <t>Количество дней:</t>
  </si>
  <si>
    <t>Q=( 0,5 *</t>
  </si>
  <si>
    <t>Q=( 3 *</t>
  </si>
  <si>
    <t>Количество рабочих дней в месяце:</t>
  </si>
  <si>
    <t>Q= (30л.сут.*к-во мест.* к-во дней в смену * к-во смен)/(кол-во мес *1000 литров) = м3/мес.</t>
  </si>
  <si>
    <t>Q= (40л.сут.*к-во мест.* к-во дней в смену * к-во смен)/(кол-во мес * 1000 литров) = м3/мес.</t>
  </si>
  <si>
    <t>Q= (25л.сут.*к-во мест.* к-во дней в смену * к-во смен) /(кол-во месяцев * 1000 литров) = м3/мес.</t>
  </si>
  <si>
    <t>Q= (100л.сут.*к-во пос.* к-во рабочих дней) / 1000 литров = м3/мес.</t>
  </si>
  <si>
    <t>Q= (190л.сут.*к-во пос.* к-во рабочих дней) / 1000 литров = м3/мес.</t>
  </si>
  <si>
    <t>Q= (120л.сут.*к-во пос.* к-во рабочих дней) / 1000 литров = м3/мес.</t>
  </si>
  <si>
    <t>Q= (240л.сут.*к-во пос.* к-во рабочих дней) / 1000 литров = м3/мес.</t>
  </si>
  <si>
    <t>Q= (180л.сут.*к-во пос.* к-во рабочих дней) / 1000 литров = м3/мес.</t>
  </si>
  <si>
    <t>Q= (360л.сут.*к-во пос.* к-во рабочих дней) / 1000 литров = м3/мес.</t>
  </si>
  <si>
    <t>Количество занимаемых мест для зрителей :</t>
  </si>
  <si>
    <r>
      <t>Норма водопотребления на 1 работника в смену  холодной воды -</t>
    </r>
    <r>
      <rPr>
        <b/>
        <sz val="14"/>
        <rFont val="Times New Roman"/>
        <family val="1"/>
        <charset val="204"/>
      </rPr>
      <t>185</t>
    </r>
    <r>
      <rPr>
        <sz val="14"/>
        <rFont val="Times New Roman"/>
        <family val="1"/>
        <charset val="204"/>
      </rPr>
      <t xml:space="preserve"> литров в сутки.</t>
    </r>
  </si>
  <si>
    <t>Норма водопотребления на 1 работника в смену горячей воды - 65 литров в сутки.</t>
  </si>
  <si>
    <t>Норма водопотребления на 1 работника в смену холодной воды -7 литров в сутки.</t>
  </si>
  <si>
    <t>Норма водопотребления на 1 работника в смену горячей воды - 5 литров в сутки.</t>
  </si>
  <si>
    <t>Q= (7,8л.сут.*к-во больных в смену * к-во смен * к-во рабочих дней) / 1000 литров = м3/мес.</t>
  </si>
  <si>
    <t>Норма водопотребления на 1 больного в смену горячей воды - 5,2 литров в сутки.</t>
  </si>
  <si>
    <t>Q= (5,2л.сут.* к-во больных * к-во смен *  к-во рабочих дней) / 1000 литров = м3/мес.</t>
  </si>
  <si>
    <t>Q=(7*</t>
  </si>
  <si>
    <t>Q=(3*</t>
  </si>
  <si>
    <t>Q=(8,6*</t>
  </si>
  <si>
    <t xml:space="preserve">Q=(3,4* </t>
  </si>
  <si>
    <t xml:space="preserve">* </t>
  </si>
  <si>
    <t>/ 1000литров = м3/месяц.</t>
  </si>
  <si>
    <t>Q = ( 5 лит.в месяц *кол. кв.метров площади*40) / кол-во мес. в сезон/</t>
  </si>
  <si>
    <t>Кол-во месяцев в сезон:</t>
  </si>
  <si>
    <t>40)/</t>
  </si>
  <si>
    <t xml:space="preserve">Q=(( 5 * </t>
  </si>
  <si>
    <t>Кол-во кв.метров полив. площади:</t>
  </si>
  <si>
    <t>Q=( 20 *</t>
  </si>
  <si>
    <t>Q=( 30 *</t>
  </si>
  <si>
    <r>
      <t xml:space="preserve">Норма водопотребления на 1 работника холодной воды - </t>
    </r>
    <r>
      <rPr>
        <b/>
        <sz val="14"/>
        <rFont val="Times New Roman"/>
        <family val="1"/>
        <charset val="204"/>
      </rPr>
      <t>400</t>
    </r>
    <r>
      <rPr>
        <sz val="14"/>
        <rFont val="Times New Roman"/>
        <family val="1"/>
        <charset val="204"/>
      </rPr>
      <t xml:space="preserve"> литров в сутки.</t>
    </r>
  </si>
  <si>
    <r>
      <t xml:space="preserve">Норма водопотребления на 1 работника холодной воды - </t>
    </r>
    <r>
      <rPr>
        <b/>
        <sz val="14"/>
        <rFont val="Times New Roman"/>
        <family val="1"/>
        <charset val="204"/>
      </rPr>
      <t>255</t>
    </r>
    <r>
      <rPr>
        <sz val="14"/>
        <rFont val="Times New Roman"/>
        <family val="1"/>
        <charset val="204"/>
      </rPr>
      <t xml:space="preserve"> литров в сутки.</t>
    </r>
  </si>
  <si>
    <r>
      <t xml:space="preserve">Норма водопотребления на 1 работника холодной воды - </t>
    </r>
    <r>
      <rPr>
        <b/>
        <sz val="14"/>
        <rFont val="Times New Roman"/>
        <family val="1"/>
        <charset val="204"/>
      </rPr>
      <t>110</t>
    </r>
    <r>
      <rPr>
        <sz val="14"/>
        <rFont val="Times New Roman"/>
        <family val="1"/>
        <charset val="204"/>
      </rPr>
      <t xml:space="preserve"> литров в сутки.</t>
    </r>
  </si>
  <si>
    <r>
      <t xml:space="preserve">Норма водопотребления на 1 работника холодной воды - </t>
    </r>
    <r>
      <rPr>
        <b/>
        <sz val="14"/>
        <rFont val="Times New Roman"/>
        <family val="1"/>
        <charset val="204"/>
      </rPr>
      <t>7</t>
    </r>
    <r>
      <rPr>
        <sz val="14"/>
        <rFont val="Times New Roman"/>
        <family val="1"/>
        <charset val="204"/>
      </rPr>
      <t xml:space="preserve"> литров в сутки.</t>
    </r>
  </si>
  <si>
    <t xml:space="preserve"> количество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</si>
</sst>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Arial"/>
    </font>
    <font>
      <sz val="8"/>
      <name val="Times New Roman"/>
      <family val="1"/>
      <charset val="204"/>
    </font>
    <font>
      <b/>
      <sz val="10"/>
      <name val="Arial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u/>
      <sz val="10"/>
      <color indexed="12"/>
      <name val="Arial"/>
    </font>
    <font>
      <b/>
      <sz val="10"/>
      <name val="Arial"/>
      <family val="2"/>
      <charset val="204"/>
    </font>
    <font>
      <b/>
      <u/>
      <sz val="16"/>
      <color indexed="12"/>
      <name val="Arial"/>
      <family val="2"/>
      <charset val="204"/>
    </font>
    <font>
      <sz val="14"/>
      <color indexed="10"/>
      <name val="Arial"/>
    </font>
    <font>
      <b/>
      <i/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u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2"/>
      <name val="Arial"/>
      <family val="2"/>
      <charset val="204"/>
    </font>
    <font>
      <i/>
      <sz val="10"/>
      <name val="Arial"/>
      <family val="2"/>
      <charset val="204"/>
    </font>
    <font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0625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protection hidden="1"/>
    </xf>
    <xf numFmtId="0" fontId="0" fillId="3" borderId="0" xfId="0" applyFill="1" applyProtection="1">
      <protection hidden="1"/>
    </xf>
    <xf numFmtId="0" fontId="0" fillId="3" borderId="2" xfId="0" applyFill="1" applyBorder="1" applyProtection="1">
      <protection hidden="1"/>
    </xf>
    <xf numFmtId="0" fontId="6" fillId="3" borderId="0" xfId="0" applyFont="1" applyFill="1" applyBorder="1" applyAlignment="1" applyProtection="1"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left"/>
      <protection hidden="1"/>
    </xf>
    <xf numFmtId="3" fontId="3" fillId="3" borderId="0" xfId="0" applyNumberFormat="1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3" fontId="1" fillId="3" borderId="0" xfId="0" applyNumberFormat="1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2" fillId="3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0" fontId="8" fillId="0" borderId="0" xfId="0" applyFont="1" applyAlignment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protection hidden="1"/>
    </xf>
    <xf numFmtId="0" fontId="8" fillId="3" borderId="0" xfId="0" applyFont="1" applyFill="1" applyAlignment="1" applyProtection="1">
      <protection hidden="1"/>
    </xf>
    <xf numFmtId="0" fontId="2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3" borderId="0" xfId="0" applyFont="1" applyFill="1" applyAlignment="1" applyProtection="1">
      <protection hidden="1"/>
    </xf>
    <xf numFmtId="0" fontId="2" fillId="3" borderId="3" xfId="0" applyFont="1" applyFill="1" applyBorder="1" applyAlignment="1" applyProtection="1"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justify"/>
      <protection hidden="1"/>
    </xf>
    <xf numFmtId="0" fontId="14" fillId="3" borderId="0" xfId="0" applyFont="1" applyFill="1" applyBorder="1" applyAlignment="1" applyProtection="1">
      <alignment vertical="center" wrapText="1"/>
      <protection hidden="1"/>
    </xf>
    <xf numFmtId="0" fontId="14" fillId="3" borderId="5" xfId="0" applyFont="1" applyFill="1" applyBorder="1" applyAlignment="1" applyProtection="1">
      <alignment vertical="center" wrapText="1"/>
      <protection hidden="1"/>
    </xf>
    <xf numFmtId="0" fontId="14" fillId="3" borderId="6" xfId="0" applyFont="1" applyFill="1" applyBorder="1" applyAlignment="1" applyProtection="1">
      <alignment vertical="center" wrapText="1"/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center"/>
      <protection hidden="1"/>
    </xf>
    <xf numFmtId="3" fontId="15" fillId="3" borderId="0" xfId="0" applyNumberFormat="1" applyFont="1" applyFill="1" applyAlignment="1" applyProtection="1">
      <alignment horizontal="center"/>
      <protection hidden="1"/>
    </xf>
    <xf numFmtId="0" fontId="16" fillId="3" borderId="0" xfId="0" applyFont="1" applyFill="1" applyAlignment="1" applyProtection="1">
      <alignment horizontal="left"/>
      <protection hidden="1"/>
    </xf>
    <xf numFmtId="0" fontId="17" fillId="3" borderId="0" xfId="0" applyFont="1" applyFill="1" applyAlignment="1" applyProtection="1">
      <alignment horizontal="left"/>
      <protection hidden="1"/>
    </xf>
    <xf numFmtId="0" fontId="9" fillId="3" borderId="0" xfId="0" applyFont="1" applyFill="1" applyProtection="1">
      <protection hidden="1"/>
    </xf>
    <xf numFmtId="0" fontId="17" fillId="3" borderId="0" xfId="0" applyFont="1" applyFill="1" applyProtection="1">
      <protection hidden="1"/>
    </xf>
    <xf numFmtId="0" fontId="18" fillId="3" borderId="0" xfId="0" applyFont="1" applyFill="1" applyProtection="1">
      <protection hidden="1"/>
    </xf>
    <xf numFmtId="0" fontId="18" fillId="3" borderId="0" xfId="0" applyFont="1" applyFill="1" applyBorder="1" applyProtection="1"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12" fillId="0" borderId="0" xfId="0" applyFont="1"/>
    <xf numFmtId="0" fontId="9" fillId="3" borderId="0" xfId="0" applyFont="1" applyFill="1" applyAlignment="1" applyProtection="1">
      <alignment horizontal="center"/>
      <protection hidden="1"/>
    </xf>
    <xf numFmtId="3" fontId="9" fillId="3" borderId="0" xfId="0" applyNumberFormat="1" applyFont="1" applyFill="1" applyAlignment="1" applyProtection="1">
      <alignment horizontal="center"/>
      <protection hidden="1"/>
    </xf>
    <xf numFmtId="0" fontId="18" fillId="0" borderId="0" xfId="0" applyFont="1"/>
    <xf numFmtId="0" fontId="9" fillId="3" borderId="0" xfId="0" applyFont="1" applyFill="1" applyAlignment="1" applyProtection="1">
      <protection hidden="1"/>
    </xf>
    <xf numFmtId="0" fontId="12" fillId="3" borderId="0" xfId="0" applyFont="1" applyFill="1" applyBorder="1" applyAlignment="1" applyProtection="1">
      <alignment horizontal="left"/>
      <protection hidden="1"/>
    </xf>
    <xf numFmtId="0" fontId="3" fillId="3" borderId="0" xfId="0" applyFont="1" applyFill="1" applyProtection="1">
      <protection hidden="1"/>
    </xf>
    <xf numFmtId="0" fontId="18" fillId="3" borderId="0" xfId="0" applyFont="1" applyFill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center"/>
      <protection locked="0"/>
    </xf>
    <xf numFmtId="0" fontId="19" fillId="3" borderId="0" xfId="0" applyFont="1" applyFill="1" applyProtection="1">
      <protection hidden="1"/>
    </xf>
    <xf numFmtId="0" fontId="19" fillId="3" borderId="0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0" fontId="3" fillId="3" borderId="0" xfId="0" applyFont="1" applyFill="1" applyAlignment="1" applyProtection="1">
      <protection hidden="1"/>
    </xf>
    <xf numFmtId="3" fontId="3" fillId="3" borderId="0" xfId="0" applyNumberFormat="1" applyFont="1" applyFill="1" applyAlignment="1" applyProtection="1">
      <protection hidden="1"/>
    </xf>
    <xf numFmtId="0" fontId="2" fillId="2" borderId="1" xfId="0" applyFont="1" applyFill="1" applyBorder="1" applyAlignment="1" applyProtection="1">
      <protection hidden="1"/>
    </xf>
    <xf numFmtId="0" fontId="21" fillId="3" borderId="0" xfId="0" applyFont="1" applyFill="1" applyProtection="1"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1" fillId="4" borderId="0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protection hidden="1"/>
    </xf>
    <xf numFmtId="0" fontId="0" fillId="4" borderId="0" xfId="0" applyFill="1" applyBorder="1" applyProtection="1">
      <protection hidden="1"/>
    </xf>
    <xf numFmtId="0" fontId="0" fillId="4" borderId="0" xfId="0" applyFill="1" applyProtection="1">
      <protection hidden="1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right"/>
      <protection hidden="1"/>
    </xf>
    <xf numFmtId="0" fontId="9" fillId="4" borderId="0" xfId="0" applyFont="1" applyFill="1" applyAlignment="1" applyProtection="1">
      <alignment wrapText="1"/>
      <protection hidden="1"/>
    </xf>
    <xf numFmtId="0" fontId="0" fillId="4" borderId="0" xfId="0" applyFill="1" applyAlignment="1" applyProtection="1">
      <alignment horizontal="left"/>
      <protection hidden="1"/>
    </xf>
    <xf numFmtId="0" fontId="5" fillId="4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wrapText="1"/>
      <protection hidden="1"/>
    </xf>
    <xf numFmtId="0" fontId="9" fillId="5" borderId="0" xfId="0" applyFont="1" applyFill="1" applyAlignment="1" applyProtection="1">
      <alignment wrapText="1"/>
      <protection hidden="1"/>
    </xf>
    <xf numFmtId="0" fontId="0" fillId="5" borderId="0" xfId="0" applyFill="1" applyAlignment="1" applyProtection="1">
      <alignment horizontal="left"/>
      <protection hidden="1"/>
    </xf>
    <xf numFmtId="0" fontId="5" fillId="5" borderId="0" xfId="0" applyFont="1" applyFill="1" applyAlignment="1" applyProtection="1">
      <alignment horizontal="left"/>
      <protection hidden="1"/>
    </xf>
    <xf numFmtId="0" fontId="1" fillId="6" borderId="8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left"/>
      <protection hidden="1"/>
    </xf>
    <xf numFmtId="0" fontId="9" fillId="5" borderId="0" xfId="0" applyFont="1" applyFill="1" applyBorder="1" applyAlignment="1" applyProtection="1">
      <alignment horizontal="left"/>
      <protection hidden="1"/>
    </xf>
    <xf numFmtId="0" fontId="18" fillId="5" borderId="0" xfId="0" applyFont="1" applyFill="1" applyBorder="1" applyProtection="1">
      <protection hidden="1"/>
    </xf>
    <xf numFmtId="0" fontId="6" fillId="3" borderId="4" xfId="0" applyFont="1" applyFill="1" applyBorder="1" applyAlignment="1" applyProtection="1">
      <protection hidden="1"/>
    </xf>
    <xf numFmtId="4" fontId="3" fillId="3" borderId="0" xfId="0" applyNumberFormat="1" applyFont="1" applyFill="1" applyAlignment="1" applyProtection="1">
      <alignment horizontal="center"/>
      <protection hidden="1"/>
    </xf>
    <xf numFmtId="2" fontId="3" fillId="3" borderId="0" xfId="0" applyNumberFormat="1" applyFont="1" applyFill="1" applyAlignment="1" applyProtection="1">
      <alignment horizontal="center"/>
      <protection hidden="1"/>
    </xf>
    <xf numFmtId="2" fontId="3" fillId="3" borderId="0" xfId="0" applyNumberFormat="1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 wrapText="1"/>
      <protection hidden="1"/>
    </xf>
    <xf numFmtId="0" fontId="0" fillId="4" borderId="0" xfId="0" applyFill="1"/>
    <xf numFmtId="0" fontId="18" fillId="4" borderId="0" xfId="0" applyFont="1" applyFill="1"/>
    <xf numFmtId="0" fontId="12" fillId="4" borderId="0" xfId="0" applyFont="1" applyFill="1"/>
    <xf numFmtId="0" fontId="1" fillId="3" borderId="0" xfId="0" applyFont="1" applyFill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left"/>
      <protection hidden="1"/>
    </xf>
    <xf numFmtId="4" fontId="1" fillId="3" borderId="0" xfId="0" applyNumberFormat="1" applyFont="1" applyFill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left"/>
      <protection hidden="1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right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9" fillId="3" borderId="4" xfId="0" applyFont="1" applyFill="1" applyBorder="1" applyAlignment="1" applyProtection="1">
      <alignment horizontal="left"/>
      <protection hidden="1"/>
    </xf>
    <xf numFmtId="0" fontId="9" fillId="3" borderId="0" xfId="0" applyFont="1" applyFill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2" fontId="3" fillId="3" borderId="0" xfId="0" applyNumberFormat="1" applyFont="1" applyFill="1" applyAlignment="1" applyProtection="1">
      <alignment horizontal="center"/>
      <protection hidden="1"/>
    </xf>
    <xf numFmtId="0" fontId="1" fillId="3" borderId="10" xfId="0" applyFont="1" applyFill="1" applyBorder="1" applyAlignment="1" applyProtection="1">
      <alignment horizontal="center" wrapText="1"/>
      <protection hidden="1"/>
    </xf>
    <xf numFmtId="4" fontId="3" fillId="3" borderId="0" xfId="0" applyNumberFormat="1" applyFont="1" applyFill="1" applyAlignment="1" applyProtection="1">
      <alignment horizontal="center"/>
      <protection hidden="1"/>
    </xf>
    <xf numFmtId="0" fontId="13" fillId="3" borderId="0" xfId="1" applyFont="1" applyFill="1" applyAlignment="1" applyProtection="1">
      <alignment horizontal="center" vertical="center" wrapText="1"/>
      <protection hidden="1"/>
    </xf>
    <xf numFmtId="0" fontId="14" fillId="3" borderId="11" xfId="0" applyFont="1" applyFill="1" applyBorder="1" applyAlignment="1" applyProtection="1">
      <alignment horizontal="center" vertical="center" wrapText="1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0" fontId="14" fillId="3" borderId="0" xfId="0" applyFont="1" applyFill="1" applyBorder="1" applyAlignment="1" applyProtection="1">
      <alignment horizontal="center" vertical="center" wrapText="1"/>
      <protection hidden="1"/>
    </xf>
    <xf numFmtId="0" fontId="14" fillId="3" borderId="6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0" fillId="3" borderId="0" xfId="0" applyFill="1" applyAlignment="1" applyProtection="1">
      <alignment horizontal="right"/>
      <protection hidden="1"/>
    </xf>
    <xf numFmtId="2" fontId="1" fillId="3" borderId="0" xfId="0" applyNumberFormat="1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wrapText="1"/>
      <protection hidden="1"/>
    </xf>
    <xf numFmtId="0" fontId="2" fillId="4" borderId="0" xfId="0" applyFont="1" applyFill="1" applyBorder="1" applyAlignment="1" applyProtection="1">
      <alignment horizontal="center" wrapText="1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left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left" wrapText="1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22" fillId="3" borderId="0" xfId="0" applyFont="1" applyFill="1" applyAlignment="1" applyProtection="1">
      <alignment horizontal="left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Z39"/>
  <sheetViews>
    <sheetView zoomScaleNormal="100" workbookViewId="0">
      <selection activeCell="P12" sqref="P12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8.5703125" style="5" customWidth="1"/>
    <col min="4" max="5" width="5.140625" style="5" customWidth="1"/>
    <col min="6" max="6" width="5.28515625" style="5" customWidth="1"/>
    <col min="7" max="7" width="6.140625" style="5" customWidth="1"/>
    <col min="8" max="8" width="8.140625" style="5" customWidth="1"/>
    <col min="9" max="9" width="4.140625" style="5" customWidth="1"/>
    <col min="10" max="10" width="5.42578125" style="5" customWidth="1"/>
    <col min="11" max="15" width="5.140625" style="5" customWidth="1"/>
    <col min="16" max="16" width="5.28515625" style="5" customWidth="1"/>
    <col min="17" max="22" width="5.140625" style="5" customWidth="1"/>
    <col min="23" max="16384" width="9.140625" style="5"/>
  </cols>
  <sheetData>
    <row r="1" spans="1:26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S1" s="16"/>
      <c r="T1" s="16"/>
      <c r="U1" s="16"/>
      <c r="V1" s="16"/>
      <c r="W1" s="16"/>
      <c r="X1" s="16"/>
      <c r="Y1" s="16"/>
      <c r="Z1" s="16"/>
    </row>
    <row r="2" spans="1:26" ht="20.2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S2" s="16"/>
      <c r="T2" s="16"/>
      <c r="U2" s="16"/>
      <c r="V2" s="16"/>
      <c r="W2" s="16"/>
      <c r="X2" s="16"/>
      <c r="Y2" s="16"/>
      <c r="Z2" s="16"/>
    </row>
    <row r="3" spans="1:26" ht="19.5" customHeight="1" x14ac:dyDescent="0.3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S3" s="16"/>
      <c r="T3" s="16"/>
      <c r="U3" s="16"/>
      <c r="V3" s="16"/>
      <c r="W3" s="16"/>
      <c r="X3" s="16"/>
      <c r="Y3" s="16"/>
      <c r="Z3" s="16"/>
    </row>
    <row r="4" spans="1:26" ht="18.75" customHeight="1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  <c r="S4" s="16"/>
      <c r="T4" s="16"/>
      <c r="U4" s="16"/>
      <c r="V4" s="16"/>
      <c r="W4" s="16"/>
      <c r="X4" s="16"/>
      <c r="Y4" s="16"/>
      <c r="Z4" s="16"/>
    </row>
    <row r="5" spans="1:26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S5" s="16"/>
      <c r="T5" s="16"/>
      <c r="U5" s="16"/>
      <c r="V5" s="16"/>
      <c r="W5" s="16"/>
      <c r="X5" s="16"/>
      <c r="Y5" s="16"/>
      <c r="Z5" s="16"/>
    </row>
    <row r="6" spans="1:26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  <c r="S6" s="16"/>
      <c r="T6" s="16"/>
      <c r="U6" s="16"/>
      <c r="V6" s="16"/>
      <c r="W6" s="16"/>
      <c r="X6" s="16"/>
      <c r="Y6" s="16"/>
      <c r="Z6" s="16"/>
    </row>
    <row r="7" spans="1:26" ht="14.25" customHeight="1" x14ac:dyDescent="0.3">
      <c r="A7" s="10"/>
      <c r="S7" s="16"/>
      <c r="T7" s="16"/>
      <c r="U7" s="16"/>
      <c r="V7" s="16"/>
      <c r="W7" s="16"/>
      <c r="X7" s="16"/>
      <c r="Y7" s="16"/>
      <c r="Z7" s="16"/>
    </row>
    <row r="8" spans="1:26" ht="18.75" x14ac:dyDescent="0.3">
      <c r="A8" s="105" t="s">
        <v>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12"/>
      <c r="M8" s="113"/>
      <c r="N8" s="113"/>
      <c r="O8" s="113"/>
      <c r="P8" s="113"/>
      <c r="Q8" s="114"/>
      <c r="S8" s="16"/>
      <c r="T8" s="16"/>
      <c r="U8" s="16"/>
      <c r="V8" s="16"/>
      <c r="W8" s="16"/>
      <c r="X8" s="16"/>
      <c r="Y8" s="16"/>
      <c r="Z8" s="16"/>
    </row>
    <row r="9" spans="1:26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  <c r="S10" s="16"/>
      <c r="T10" s="16"/>
      <c r="U10" s="16"/>
      <c r="V10" s="16"/>
      <c r="W10" s="16"/>
      <c r="X10" s="16"/>
      <c r="Y10" s="16"/>
      <c r="Z10" s="16"/>
    </row>
    <row r="11" spans="1:26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37"/>
      <c r="K11" s="37"/>
      <c r="L11" s="13"/>
      <c r="M11" s="13"/>
      <c r="N11" s="13"/>
      <c r="O11" s="13"/>
      <c r="P11" s="13"/>
      <c r="Q11" s="13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5" t="s">
        <v>11</v>
      </c>
      <c r="B12" s="105"/>
      <c r="C12" s="105"/>
      <c r="D12" s="105"/>
      <c r="E12" s="105"/>
      <c r="F12" s="105"/>
      <c r="G12" s="105"/>
      <c r="H12" s="105"/>
      <c r="I12" s="105"/>
      <c r="J12" s="106"/>
      <c r="K12" s="107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5" t="s">
        <v>12</v>
      </c>
      <c r="B13" s="105"/>
      <c r="C13" s="105"/>
      <c r="D13" s="105"/>
      <c r="E13" s="105"/>
      <c r="F13" s="105"/>
      <c r="G13" s="106"/>
      <c r="H13" s="107"/>
      <c r="I13" s="14" t="s">
        <v>13</v>
      </c>
      <c r="J13" s="14"/>
      <c r="S13" s="16"/>
      <c r="T13" s="16"/>
      <c r="U13" s="16"/>
      <c r="V13" s="16"/>
      <c r="W13" s="16"/>
      <c r="X13" s="16"/>
      <c r="Y13" s="16"/>
      <c r="Z13" s="16"/>
    </row>
    <row r="14" spans="1:26" ht="8.25" customHeight="1" x14ac:dyDescent="0.3">
      <c r="A14" s="38" t="s">
        <v>4</v>
      </c>
      <c r="G14" s="10"/>
      <c r="H14" s="10"/>
      <c r="S14" s="16"/>
      <c r="T14" s="16"/>
      <c r="U14" s="16"/>
      <c r="V14" s="16"/>
      <c r="W14" s="16"/>
      <c r="X14" s="16"/>
      <c r="Y14" s="16"/>
      <c r="Z14" s="16"/>
    </row>
    <row r="15" spans="1:26" s="16" customFormat="1" ht="18.75" x14ac:dyDescent="0.3">
      <c r="A15" s="11" t="s">
        <v>5</v>
      </c>
      <c r="B15" s="11"/>
      <c r="C15" s="11"/>
      <c r="D15" s="11"/>
      <c r="E15" s="11"/>
      <c r="F15" s="11"/>
      <c r="G15" s="11"/>
      <c r="H15" s="11"/>
      <c r="I15" s="11"/>
      <c r="J15" s="11"/>
    </row>
    <row r="16" spans="1:26" s="16" customFormat="1" ht="18.75" x14ac:dyDescent="0.3">
      <c r="A16" s="105" t="s">
        <v>14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s="19" customFormat="1" ht="19.5" x14ac:dyDescent="0.35">
      <c r="A17" s="17" t="s">
        <v>18</v>
      </c>
      <c r="B17" s="17"/>
      <c r="C17" s="18">
        <f>J12</f>
        <v>0</v>
      </c>
      <c r="D17" s="18" t="s">
        <v>15</v>
      </c>
      <c r="E17" s="18">
        <f>G13</f>
        <v>0</v>
      </c>
      <c r="F17" s="17" t="s">
        <v>16</v>
      </c>
      <c r="G17" s="17"/>
      <c r="H17" s="95">
        <f>(13*C17*E17)/1000</f>
        <v>0</v>
      </c>
      <c r="I17" s="17" t="s">
        <v>17</v>
      </c>
      <c r="J17" s="17"/>
      <c r="K17" s="21"/>
      <c r="L17" s="21"/>
      <c r="M17" s="21"/>
      <c r="N17" s="21"/>
      <c r="O17" s="21"/>
      <c r="P17" s="21"/>
      <c r="Q17" s="21"/>
    </row>
    <row r="18" spans="1:17" ht="19.5" x14ac:dyDescent="0.35">
      <c r="A18" s="61" t="s">
        <v>530</v>
      </c>
    </row>
    <row r="19" spans="1:17" s="16" customFormat="1" ht="18.75" x14ac:dyDescent="0.3">
      <c r="A19" s="105" t="s">
        <v>30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spans="1:17" s="16" customFormat="1" ht="18.75" x14ac:dyDescent="0.3">
      <c r="A20" s="11" t="s">
        <v>20</v>
      </c>
      <c r="B20" s="11"/>
      <c r="C20" s="11"/>
      <c r="D20" s="11"/>
      <c r="E20" s="11"/>
      <c r="F20" s="11"/>
      <c r="G20" s="11"/>
      <c r="H20" s="11"/>
      <c r="I20" s="11"/>
      <c r="J20" s="11"/>
    </row>
    <row r="21" spans="1:17" s="19" customFormat="1" ht="19.5" x14ac:dyDescent="0.35">
      <c r="A21" s="17" t="s">
        <v>19</v>
      </c>
      <c r="B21" s="17"/>
      <c r="C21" s="18">
        <f>J12</f>
        <v>0</v>
      </c>
      <c r="D21" s="18" t="s">
        <v>15</v>
      </c>
      <c r="E21" s="18">
        <f>G13</f>
        <v>0</v>
      </c>
      <c r="F21" s="17" t="s">
        <v>16</v>
      </c>
      <c r="G21" s="17"/>
      <c r="H21" s="95">
        <f>(12*C21*E21)/1000</f>
        <v>0</v>
      </c>
      <c r="I21" s="17" t="s">
        <v>17</v>
      </c>
      <c r="J21" s="17"/>
      <c r="K21" s="21"/>
      <c r="L21" s="21"/>
      <c r="M21" s="21"/>
      <c r="N21" s="21"/>
      <c r="O21" s="21"/>
      <c r="P21" s="21"/>
      <c r="Q21" s="21"/>
    </row>
    <row r="22" spans="1:17" ht="18.75" x14ac:dyDescent="0.3">
      <c r="A22" s="26" t="s">
        <v>529</v>
      </c>
    </row>
    <row r="23" spans="1:17" s="16" customFormat="1" ht="18.75" x14ac:dyDescent="0.3">
      <c r="A23" s="105" t="s">
        <v>21</v>
      </c>
      <c r="B23" s="105"/>
      <c r="C23" s="105"/>
      <c r="D23" s="105"/>
      <c r="E23" s="105"/>
      <c r="F23" s="106"/>
      <c r="G23" s="107"/>
      <c r="H23" s="14" t="s">
        <v>32</v>
      </c>
      <c r="I23" s="14"/>
      <c r="J23" s="14"/>
    </row>
    <row r="24" spans="1:17" s="16" customFormat="1" ht="18.75" x14ac:dyDescent="0.3">
      <c r="A24" s="11" t="s">
        <v>6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7" s="16" customFormat="1" ht="18.75" x14ac:dyDescent="0.3">
      <c r="A25" s="105" t="s">
        <v>23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17" s="19" customFormat="1" ht="19.5" x14ac:dyDescent="0.35">
      <c r="A26" s="17" t="s">
        <v>22</v>
      </c>
      <c r="B26" s="17"/>
      <c r="C26" s="18">
        <f>F23</f>
        <v>0</v>
      </c>
      <c r="D26" s="18" t="s">
        <v>15</v>
      </c>
      <c r="E26" s="18">
        <f>G13</f>
        <v>0</v>
      </c>
      <c r="F26" s="17" t="s">
        <v>16</v>
      </c>
      <c r="G26" s="17"/>
      <c r="H26" s="95">
        <f>(18*C26*E26)/1000</f>
        <v>0</v>
      </c>
      <c r="I26" s="17" t="s">
        <v>17</v>
      </c>
      <c r="J26" s="17"/>
      <c r="K26" s="21"/>
      <c r="L26" s="21"/>
      <c r="M26" s="21"/>
      <c r="N26" s="21"/>
      <c r="O26" s="21"/>
      <c r="P26" s="21"/>
      <c r="Q26" s="21"/>
    </row>
    <row r="27" spans="1:17" s="16" customFormat="1" ht="18.75" x14ac:dyDescent="0.3">
      <c r="A27" s="11" t="s">
        <v>7</v>
      </c>
      <c r="B27" s="11"/>
      <c r="C27" s="11"/>
      <c r="D27" s="11"/>
      <c r="E27" s="11"/>
      <c r="F27" s="11"/>
      <c r="G27" s="11"/>
      <c r="H27" s="11"/>
      <c r="I27" s="11"/>
      <c r="J27" s="11"/>
    </row>
    <row r="28" spans="1:17" s="16" customFormat="1" ht="18.75" x14ac:dyDescent="0.3">
      <c r="A28" s="105" t="s">
        <v>24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17" s="19" customFormat="1" ht="19.5" x14ac:dyDescent="0.35">
      <c r="A29" s="17" t="s">
        <v>22</v>
      </c>
      <c r="B29" s="17"/>
      <c r="C29" s="18">
        <f>F23</f>
        <v>0</v>
      </c>
      <c r="D29" s="18" t="s">
        <v>15</v>
      </c>
      <c r="E29" s="18">
        <f>G13</f>
        <v>0</v>
      </c>
      <c r="F29" s="17" t="s">
        <v>16</v>
      </c>
      <c r="G29" s="17"/>
      <c r="H29" s="95">
        <f>(18*C29*E29)/1000</f>
        <v>0</v>
      </c>
      <c r="I29" s="17" t="s">
        <v>17</v>
      </c>
      <c r="J29" s="17"/>
      <c r="K29" s="21"/>
      <c r="L29" s="21"/>
      <c r="M29" s="21"/>
      <c r="N29" s="21"/>
      <c r="O29" s="21"/>
      <c r="P29" s="21"/>
      <c r="Q29" s="21"/>
    </row>
    <row r="30" spans="1:17" s="16" customFormat="1" ht="9.75" customHeight="1" x14ac:dyDescent="0.3">
      <c r="A30" s="11"/>
    </row>
    <row r="31" spans="1:17" ht="18.75" x14ac:dyDescent="0.3">
      <c r="A31" s="38"/>
    </row>
    <row r="32" spans="1:17" ht="18.75" x14ac:dyDescent="0.3">
      <c r="A32" s="102" t="s">
        <v>26</v>
      </c>
      <c r="B32" s="102"/>
      <c r="C32" s="102"/>
      <c r="D32" s="102"/>
      <c r="E32" s="104">
        <f>H17+H21+H26+H29</f>
        <v>0</v>
      </c>
      <c r="F32" s="104"/>
      <c r="G32" s="104"/>
      <c r="H32" s="104"/>
      <c r="I32" s="103" t="s">
        <v>27</v>
      </c>
      <c r="J32" s="103"/>
      <c r="K32" s="103"/>
      <c r="L32" s="103"/>
    </row>
    <row r="33" spans="1:1" ht="18.75" x14ac:dyDescent="0.3">
      <c r="A33" s="26"/>
    </row>
    <row r="34" spans="1:1" ht="18.75" x14ac:dyDescent="0.3">
      <c r="A34" s="26" t="s">
        <v>8</v>
      </c>
    </row>
    <row r="35" spans="1:1" ht="18.75" x14ac:dyDescent="0.3">
      <c r="A35" s="26" t="s">
        <v>149</v>
      </c>
    </row>
    <row r="36" spans="1:1" ht="12" customHeight="1" x14ac:dyDescent="0.3">
      <c r="A36" s="27"/>
    </row>
    <row r="37" spans="1:1" ht="18.75" x14ac:dyDescent="0.3">
      <c r="A37" s="26" t="s">
        <v>9</v>
      </c>
    </row>
    <row r="38" spans="1:1" ht="18.75" x14ac:dyDescent="0.3">
      <c r="A38" s="26"/>
    </row>
    <row r="39" spans="1:1" ht="18.75" x14ac:dyDescent="0.3">
      <c r="A39" s="26" t="s">
        <v>10</v>
      </c>
    </row>
  </sheetData>
  <sheetProtection algorithmName="SHA-512" hashValue="dlSvphzZqvrjVWQt2GmhMKdx7oRgjK/owNSoMB8NUZoxaO2FIvZZP1kyz0s0raaiFlA1THweq/LpDd9l5CD0pw==" saltValue="70X/BWWaN/9c7VenozU7Ww==" spinCount="100000" sheet="1" objects="1" scenarios="1"/>
  <mergeCells count="24">
    <mergeCell ref="A10:Q10"/>
    <mergeCell ref="A13:F13"/>
    <mergeCell ref="G13:H13"/>
    <mergeCell ref="A16:Q16"/>
    <mergeCell ref="A1:Q1"/>
    <mergeCell ref="A2:Q2"/>
    <mergeCell ref="A3:Q3"/>
    <mergeCell ref="A12:I12"/>
    <mergeCell ref="J12:K12"/>
    <mergeCell ref="C6:F6"/>
    <mergeCell ref="G6:H6"/>
    <mergeCell ref="A8:K8"/>
    <mergeCell ref="A5:Q5"/>
    <mergeCell ref="A4:Q4"/>
    <mergeCell ref="J6:M6"/>
    <mergeCell ref="L8:Q8"/>
    <mergeCell ref="A32:D32"/>
    <mergeCell ref="I32:L32"/>
    <mergeCell ref="E32:H32"/>
    <mergeCell ref="A19:Q19"/>
    <mergeCell ref="A23:E23"/>
    <mergeCell ref="F23:G23"/>
    <mergeCell ref="A28:Q28"/>
    <mergeCell ref="A25:Q25"/>
  </mergeCells>
  <phoneticPr fontId="0" type="noConversion"/>
  <pageMargins left="0.78740157480314965" right="0.39370078740157483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>
    <pageSetUpPr fitToPage="1"/>
  </sheetPr>
  <dimension ref="A1:Z37"/>
  <sheetViews>
    <sheetView workbookViewId="0">
      <selection activeCell="I12" sqref="I12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7.140625" style="5" customWidth="1"/>
    <col min="9" max="9" width="12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9" style="5" customWidth="1"/>
    <col min="17" max="17" width="7.7109375" style="5" customWidth="1"/>
    <col min="18" max="22" width="5.140625" style="5" customWidth="1"/>
    <col min="23" max="23" width="12" style="5" customWidth="1"/>
    <col min="24" max="16384" width="9.140625" style="5"/>
  </cols>
  <sheetData>
    <row r="1" spans="1:26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35"/>
    </row>
    <row r="2" spans="1:26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35"/>
    </row>
    <row r="3" spans="1:26" ht="18.75" customHeight="1" x14ac:dyDescent="0.3">
      <c r="A3" s="124" t="s">
        <v>72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26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26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26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26" ht="14.25" customHeight="1" x14ac:dyDescent="0.3">
      <c r="A7" s="10"/>
    </row>
    <row r="8" spans="1:26" ht="18.75" x14ac:dyDescent="0.3">
      <c r="A8" s="105" t="s">
        <v>73</v>
      </c>
      <c r="B8" s="105"/>
      <c r="C8" s="105"/>
      <c r="D8" s="105"/>
      <c r="E8" s="105"/>
      <c r="F8" s="106"/>
      <c r="G8" s="108"/>
      <c r="H8" s="108"/>
      <c r="I8" s="108"/>
      <c r="J8" s="108"/>
      <c r="K8" s="108"/>
      <c r="L8" s="108"/>
      <c r="M8" s="108"/>
      <c r="N8" s="108"/>
      <c r="O8" s="108"/>
      <c r="P8" s="107"/>
    </row>
    <row r="9" spans="1:26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26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</row>
    <row r="11" spans="1:26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6" ht="18.75" x14ac:dyDescent="0.3">
      <c r="A12" s="105" t="s">
        <v>74</v>
      </c>
      <c r="B12" s="105"/>
      <c r="C12" s="105"/>
      <c r="D12" s="105"/>
      <c r="E12" s="105"/>
      <c r="F12" s="105"/>
      <c r="G12" s="105"/>
      <c r="H12" s="115"/>
      <c r="I12" s="1"/>
    </row>
    <row r="13" spans="1:26" ht="6" customHeight="1" x14ac:dyDescent="0.3">
      <c r="A13" s="11"/>
      <c r="B13" s="11"/>
      <c r="C13" s="11"/>
      <c r="D13" s="11"/>
      <c r="J13" s="9"/>
    </row>
    <row r="14" spans="1:26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</row>
    <row r="15" spans="1:26" s="16" customFormat="1" ht="18.75" x14ac:dyDescent="0.3">
      <c r="A15" s="14" t="s">
        <v>275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5"/>
      <c r="S15" s="5"/>
      <c r="T15" s="5"/>
      <c r="U15" s="5"/>
      <c r="V15" s="5"/>
      <c r="W15" s="5"/>
      <c r="X15" s="5"/>
      <c r="Y15" s="5"/>
      <c r="Z15" s="5"/>
    </row>
    <row r="16" spans="1:26" s="16" customFormat="1" ht="18.75" x14ac:dyDescent="0.3">
      <c r="A16" s="14" t="s">
        <v>276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s="19" customFormat="1" ht="19.5" x14ac:dyDescent="0.35">
      <c r="A17" s="17" t="s">
        <v>193</v>
      </c>
      <c r="B17" s="17"/>
      <c r="C17" s="18">
        <f>I12</f>
        <v>0</v>
      </c>
      <c r="D17" s="18" t="s">
        <v>15</v>
      </c>
      <c r="E17" s="18">
        <f>F14</f>
        <v>0</v>
      </c>
      <c r="F17" s="17" t="s">
        <v>16</v>
      </c>
      <c r="G17" s="17"/>
      <c r="I17" s="95">
        <f>(15*C17*E17)/1000</f>
        <v>0</v>
      </c>
      <c r="J17" s="17" t="s">
        <v>65</v>
      </c>
      <c r="K17" s="17"/>
      <c r="L17" s="21"/>
      <c r="M17" s="21"/>
      <c r="N17" s="21"/>
    </row>
    <row r="18" spans="1:17" s="16" customFormat="1" ht="18.75" x14ac:dyDescent="0.3">
      <c r="A18" s="14" t="s">
        <v>277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s="16" customFormat="1" ht="18.75" x14ac:dyDescent="0.3">
      <c r="A19" s="14" t="s">
        <v>278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19" customFormat="1" ht="19.5" x14ac:dyDescent="0.35">
      <c r="A20" s="17" t="s">
        <v>279</v>
      </c>
      <c r="B20" s="17"/>
      <c r="C20" s="18">
        <f>I12</f>
        <v>0</v>
      </c>
      <c r="D20" s="18" t="s">
        <v>15</v>
      </c>
      <c r="E20" s="18">
        <f>F14</f>
        <v>0</v>
      </c>
      <c r="F20" s="17" t="s">
        <v>16</v>
      </c>
      <c r="G20" s="17"/>
      <c r="I20" s="95">
        <f>(25*C20*E20)/1000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1"/>
    </row>
    <row r="21" spans="1:17" s="19" customFormat="1" ht="11.25" customHeight="1" x14ac:dyDescent="0.35">
      <c r="A21" s="17"/>
      <c r="B21" s="17"/>
      <c r="C21" s="18"/>
      <c r="D21" s="17"/>
      <c r="E21" s="18"/>
      <c r="F21" s="17"/>
      <c r="G21" s="17"/>
      <c r="H21" s="17"/>
      <c r="I21" s="17"/>
      <c r="J21" s="18"/>
      <c r="K21" s="17"/>
      <c r="L21" s="17"/>
      <c r="P21" s="21"/>
      <c r="Q21" s="21"/>
    </row>
    <row r="22" spans="1:17" ht="18.75" x14ac:dyDescent="0.3">
      <c r="A22" s="105" t="s">
        <v>143</v>
      </c>
      <c r="B22" s="105"/>
      <c r="C22" s="105"/>
      <c r="D22" s="105"/>
      <c r="E22" s="105"/>
      <c r="F22" s="106"/>
      <c r="G22" s="108"/>
      <c r="H22" s="107"/>
      <c r="I22" s="15"/>
      <c r="J22" s="9"/>
    </row>
    <row r="23" spans="1:17" s="16" customFormat="1" ht="18.75" x14ac:dyDescent="0.3">
      <c r="A23" s="14" t="s">
        <v>271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s="16" customFormat="1" ht="18.75" x14ac:dyDescent="0.3">
      <c r="A24" s="14" t="s">
        <v>272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s="19" customFormat="1" ht="19.5" x14ac:dyDescent="0.35">
      <c r="A25" s="17" t="s">
        <v>198</v>
      </c>
      <c r="B25" s="17"/>
      <c r="C25" s="18">
        <f>F22</f>
        <v>0</v>
      </c>
      <c r="D25" s="18" t="s">
        <v>15</v>
      </c>
      <c r="E25" s="18">
        <f>F14</f>
        <v>0</v>
      </c>
      <c r="F25" s="17" t="s">
        <v>16</v>
      </c>
      <c r="G25" s="17"/>
      <c r="I25" s="95">
        <f>(5*C25*E25)/1000</f>
        <v>0</v>
      </c>
      <c r="J25" s="17" t="s">
        <v>65</v>
      </c>
      <c r="K25" s="17"/>
      <c r="L25" s="21"/>
      <c r="M25" s="21"/>
      <c r="N25" s="21"/>
    </row>
    <row r="26" spans="1:17" s="16" customFormat="1" ht="18.75" x14ac:dyDescent="0.3">
      <c r="A26" s="14" t="s">
        <v>273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6" customFormat="1" ht="18.75" x14ac:dyDescent="0.3">
      <c r="A27" s="14" t="s">
        <v>274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9" customFormat="1" ht="19.5" x14ac:dyDescent="0.35">
      <c r="A28" s="17" t="s">
        <v>198</v>
      </c>
      <c r="B28" s="17"/>
      <c r="C28" s="18">
        <f>F22</f>
        <v>0</v>
      </c>
      <c r="D28" s="18" t="s">
        <v>15</v>
      </c>
      <c r="E28" s="18">
        <f>F14</f>
        <v>0</v>
      </c>
      <c r="F28" s="17" t="s">
        <v>16</v>
      </c>
      <c r="G28" s="17"/>
      <c r="I28" s="95">
        <f>(5*C28*E28)/1000</f>
        <v>0</v>
      </c>
      <c r="J28" s="17" t="s">
        <v>66</v>
      </c>
      <c r="K28" s="17"/>
      <c r="L28" s="21"/>
      <c r="M28" s="21"/>
      <c r="N28" s="21"/>
      <c r="O28" s="21"/>
      <c r="P28" s="21"/>
      <c r="Q28" s="21"/>
    </row>
    <row r="29" spans="1:1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7.5" customHeight="1" x14ac:dyDescent="0.2"/>
    <row r="31" spans="1:17" ht="18.75" x14ac:dyDescent="0.3">
      <c r="A31" s="102" t="s">
        <v>60</v>
      </c>
      <c r="B31" s="102"/>
      <c r="C31" s="102"/>
      <c r="D31" s="102"/>
      <c r="E31" s="104">
        <f>I17+I20+I25+I28</f>
        <v>0</v>
      </c>
      <c r="F31" s="104"/>
      <c r="G31" s="104"/>
      <c r="H31" s="104"/>
      <c r="I31" s="103" t="s">
        <v>27</v>
      </c>
      <c r="J31" s="103"/>
      <c r="K31" s="103"/>
      <c r="L31" s="103"/>
    </row>
    <row r="32" spans="1:17" ht="18.75" x14ac:dyDescent="0.3">
      <c r="A32" s="26" t="s">
        <v>8</v>
      </c>
    </row>
    <row r="33" spans="1:1" ht="18.75" x14ac:dyDescent="0.3">
      <c r="A33" s="26" t="s">
        <v>149</v>
      </c>
    </row>
    <row r="34" spans="1:1" ht="12" customHeight="1" x14ac:dyDescent="0.3">
      <c r="A34" s="27"/>
    </row>
    <row r="35" spans="1:1" ht="18.75" x14ac:dyDescent="0.3">
      <c r="A35" s="26" t="s">
        <v>9</v>
      </c>
    </row>
    <row r="36" spans="1:1" ht="3.75" customHeight="1" x14ac:dyDescent="0.3">
      <c r="A36" s="26"/>
    </row>
    <row r="37" spans="1:1" ht="18.75" x14ac:dyDescent="0.3">
      <c r="A37" s="26" t="s">
        <v>10</v>
      </c>
    </row>
  </sheetData>
  <sheetProtection password="CA9C" sheet="1" objects="1" scenarios="1"/>
  <protectedRanges>
    <protectedRange sqref="A4 G6 J6 F8 A10 I12 F14 F22" name="Диапазон1"/>
  </protectedRanges>
  <mergeCells count="19">
    <mergeCell ref="A1:P1"/>
    <mergeCell ref="A2:P2"/>
    <mergeCell ref="A3:P3"/>
    <mergeCell ref="A4:P4"/>
    <mergeCell ref="F8:P8"/>
    <mergeCell ref="C6:F6"/>
    <mergeCell ref="G6:H6"/>
    <mergeCell ref="J6:M6"/>
    <mergeCell ref="A8:E8"/>
    <mergeCell ref="A5:P5"/>
    <mergeCell ref="A10:P10"/>
    <mergeCell ref="A31:D31"/>
    <mergeCell ref="E31:H31"/>
    <mergeCell ref="I31:L31"/>
    <mergeCell ref="F22:H22"/>
    <mergeCell ref="A12:H12"/>
    <mergeCell ref="A22:E22"/>
    <mergeCell ref="A14:E14"/>
    <mergeCell ref="F14:H1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2">
    <pageSetUpPr fitToPage="1"/>
  </sheetPr>
  <dimension ref="A1:Y72"/>
  <sheetViews>
    <sheetView tabSelected="1" workbookViewId="0">
      <selection activeCell="Q9" sqref="Q9"/>
    </sheetView>
  </sheetViews>
  <sheetFormatPr defaultRowHeight="12.75" x14ac:dyDescent="0.2"/>
  <cols>
    <col min="1" max="1" width="5.140625" style="5" customWidth="1"/>
    <col min="2" max="2" width="7.2851562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9.28515625" style="5" customWidth="1"/>
    <col min="9" max="9" width="12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10" style="5" customWidth="1"/>
    <col min="17" max="17" width="7.7109375" style="5" customWidth="1"/>
    <col min="18" max="22" width="5.140625" style="5" customWidth="1"/>
    <col min="23" max="23" width="11.28515625" style="5" customWidth="1"/>
    <col min="24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35"/>
      <c r="R1" s="19"/>
      <c r="S1" s="19"/>
      <c r="T1" s="19"/>
      <c r="U1" s="19"/>
      <c r="V1" s="19"/>
      <c r="W1" s="19"/>
      <c r="X1" s="19"/>
      <c r="Y1" s="19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35"/>
      <c r="R2" s="19"/>
      <c r="S2" s="19"/>
      <c r="T2" s="19"/>
      <c r="U2" s="19"/>
      <c r="V2" s="19"/>
      <c r="W2" s="19"/>
      <c r="X2" s="19"/>
      <c r="Y2" s="19"/>
    </row>
    <row r="3" spans="1:25" ht="18.75" customHeight="1" x14ac:dyDescent="0.3">
      <c r="A3" s="124" t="s">
        <v>280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9"/>
      <c r="S3" s="19"/>
      <c r="T3" s="19"/>
      <c r="U3" s="19"/>
      <c r="V3" s="19"/>
      <c r="W3" s="19"/>
      <c r="X3" s="19"/>
      <c r="Y3" s="19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9"/>
      <c r="S4" s="19"/>
      <c r="T4" s="19"/>
      <c r="U4" s="19"/>
      <c r="V4" s="19"/>
      <c r="W4" s="19"/>
      <c r="X4" s="19"/>
      <c r="Y4" s="19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9"/>
      <c r="S5" s="19"/>
      <c r="T5" s="19"/>
      <c r="U5" s="19"/>
      <c r="V5" s="19"/>
      <c r="W5" s="19"/>
      <c r="X5" s="19"/>
      <c r="Y5" s="19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  <c r="R6" s="19"/>
      <c r="S6" s="19"/>
      <c r="T6" s="19"/>
      <c r="U6" s="19"/>
      <c r="V6" s="19"/>
      <c r="W6" s="19"/>
      <c r="X6" s="19"/>
      <c r="Y6" s="19"/>
    </row>
    <row r="7" spans="1:25" ht="9.75" customHeight="1" x14ac:dyDescent="0.3">
      <c r="A7" s="10"/>
      <c r="R7" s="19"/>
      <c r="S7" s="19"/>
      <c r="T7" s="19"/>
      <c r="U7" s="19"/>
      <c r="V7" s="19"/>
      <c r="W7" s="19"/>
      <c r="X7" s="19"/>
      <c r="Y7" s="19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9"/>
      <c r="S8" s="19"/>
      <c r="T8" s="19"/>
      <c r="U8" s="19"/>
      <c r="V8" s="19"/>
      <c r="W8" s="19"/>
      <c r="X8" s="19"/>
      <c r="Y8" s="19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9"/>
      <c r="S9" s="19"/>
      <c r="T9" s="19"/>
      <c r="U9" s="19"/>
      <c r="V9" s="19"/>
      <c r="W9" s="19"/>
      <c r="X9" s="19"/>
      <c r="Y9" s="19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9"/>
      <c r="S10" s="19"/>
      <c r="T10" s="19"/>
      <c r="U10" s="19"/>
      <c r="V10" s="19"/>
      <c r="W10" s="19"/>
      <c r="X10" s="19"/>
      <c r="Y10" s="19"/>
    </row>
    <row r="11" spans="1:25" ht="6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9"/>
      <c r="S11" s="19"/>
      <c r="T11" s="19"/>
      <c r="U11" s="19"/>
      <c r="V11" s="19"/>
      <c r="W11" s="19"/>
      <c r="X11" s="19"/>
      <c r="Y11" s="19"/>
    </row>
    <row r="12" spans="1:25" s="51" customFormat="1" ht="18.75" x14ac:dyDescent="0.3">
      <c r="A12" s="119" t="s">
        <v>282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9"/>
      <c r="S12" s="19"/>
      <c r="T12" s="19"/>
      <c r="U12" s="19"/>
      <c r="V12" s="19"/>
      <c r="W12" s="19"/>
      <c r="X12" s="19"/>
      <c r="Y12" s="19"/>
    </row>
    <row r="13" spans="1:25" ht="18.75" x14ac:dyDescent="0.3">
      <c r="A13" s="11" t="s">
        <v>281</v>
      </c>
      <c r="B13" s="11"/>
      <c r="C13" s="11"/>
      <c r="D13" s="106"/>
      <c r="E13" s="108"/>
      <c r="F13" s="107"/>
      <c r="J13" s="9"/>
      <c r="R13" s="19"/>
      <c r="S13" s="19"/>
      <c r="T13" s="19"/>
      <c r="U13" s="19"/>
      <c r="V13" s="19"/>
      <c r="W13" s="19"/>
      <c r="X13" s="19"/>
      <c r="Y13" s="19"/>
    </row>
    <row r="14" spans="1:25" ht="5.25" customHeight="1" x14ac:dyDescent="0.3">
      <c r="A14" s="11"/>
      <c r="B14" s="11"/>
      <c r="C14" s="11"/>
      <c r="D14" s="11"/>
      <c r="J14" s="9"/>
    </row>
    <row r="15" spans="1:25" ht="18.75" x14ac:dyDescent="0.3">
      <c r="A15" s="105" t="s">
        <v>64</v>
      </c>
      <c r="B15" s="105"/>
      <c r="C15" s="105"/>
      <c r="D15" s="105"/>
      <c r="E15" s="105"/>
      <c r="F15" s="106"/>
      <c r="G15" s="108"/>
      <c r="H15" s="107"/>
      <c r="I15" s="15" t="s">
        <v>76</v>
      </c>
      <c r="J15" s="9"/>
    </row>
    <row r="16" spans="1:25" s="16" customFormat="1" ht="18.75" x14ac:dyDescent="0.3">
      <c r="A16" s="105" t="s">
        <v>283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4"/>
    </row>
    <row r="17" spans="1:17" s="16" customFormat="1" ht="18.75" x14ac:dyDescent="0.3">
      <c r="A17" s="140" t="s">
        <v>284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"/>
    </row>
    <row r="18" spans="1:17" s="19" customFormat="1" ht="19.5" x14ac:dyDescent="0.35">
      <c r="A18" s="17" t="s">
        <v>83</v>
      </c>
      <c r="B18" s="17"/>
      <c r="C18" s="18">
        <f>D13</f>
        <v>0</v>
      </c>
      <c r="D18" s="18" t="s">
        <v>15</v>
      </c>
      <c r="E18" s="18">
        <f>F15</f>
        <v>0</v>
      </c>
      <c r="F18" s="17" t="s">
        <v>16</v>
      </c>
      <c r="G18" s="17"/>
      <c r="I18" s="95">
        <f>(8*C18*E18)/1000</f>
        <v>0</v>
      </c>
      <c r="J18" s="17" t="s">
        <v>65</v>
      </c>
      <c r="K18" s="17"/>
      <c r="L18" s="21"/>
      <c r="M18" s="21"/>
      <c r="N18" s="21"/>
    </row>
    <row r="19" spans="1:17" s="16" customFormat="1" ht="18.75" x14ac:dyDescent="0.3">
      <c r="A19" s="105" t="s">
        <v>285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4"/>
    </row>
    <row r="20" spans="1:17" s="16" customFormat="1" ht="18.75" x14ac:dyDescent="0.3">
      <c r="A20" s="105" t="s">
        <v>286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4"/>
    </row>
    <row r="21" spans="1:17" s="19" customFormat="1" ht="19.5" x14ac:dyDescent="0.35">
      <c r="A21" s="17" t="s">
        <v>109</v>
      </c>
      <c r="B21" s="17"/>
      <c r="C21" s="18">
        <f>D13</f>
        <v>0</v>
      </c>
      <c r="D21" s="18" t="s">
        <v>15</v>
      </c>
      <c r="E21" s="18">
        <f>F15</f>
        <v>0</v>
      </c>
      <c r="F21" s="17" t="s">
        <v>16</v>
      </c>
      <c r="G21" s="17"/>
      <c r="I21" s="95">
        <f>(4*C21*E21)/1000</f>
        <v>0</v>
      </c>
      <c r="J21" s="17" t="s">
        <v>66</v>
      </c>
      <c r="K21" s="17"/>
      <c r="L21" s="21"/>
      <c r="M21" s="21"/>
      <c r="N21" s="21"/>
      <c r="O21" s="21"/>
      <c r="P21" s="21"/>
      <c r="Q21" s="21"/>
    </row>
    <row r="23" spans="1:17" s="51" customFormat="1" ht="18.75" x14ac:dyDescent="0.3">
      <c r="A23" s="119" t="s">
        <v>287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</row>
    <row r="24" spans="1:17" ht="18.75" x14ac:dyDescent="0.3">
      <c r="A24" s="11" t="s">
        <v>281</v>
      </c>
      <c r="B24" s="11"/>
      <c r="C24" s="11"/>
      <c r="D24" s="106"/>
      <c r="E24" s="108"/>
      <c r="F24" s="107"/>
      <c r="J24" s="9"/>
    </row>
    <row r="25" spans="1:17" ht="5.25" customHeight="1" x14ac:dyDescent="0.3">
      <c r="A25" s="11"/>
      <c r="B25" s="11"/>
      <c r="C25" s="11"/>
      <c r="D25" s="11"/>
      <c r="J25" s="9"/>
    </row>
    <row r="26" spans="1:17" ht="18.75" x14ac:dyDescent="0.3">
      <c r="A26" s="105" t="s">
        <v>64</v>
      </c>
      <c r="B26" s="105"/>
      <c r="C26" s="105"/>
      <c r="D26" s="105"/>
      <c r="E26" s="105"/>
      <c r="F26" s="106"/>
      <c r="G26" s="108"/>
      <c r="H26" s="107"/>
      <c r="I26" s="15" t="s">
        <v>76</v>
      </c>
      <c r="J26" s="9"/>
    </row>
    <row r="27" spans="1:17" s="16" customFormat="1" ht="18.75" x14ac:dyDescent="0.3">
      <c r="A27" s="105" t="s">
        <v>288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4"/>
    </row>
    <row r="28" spans="1:17" s="16" customFormat="1" ht="18.75" x14ac:dyDescent="0.3">
      <c r="A28" s="105" t="s">
        <v>289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4"/>
    </row>
    <row r="29" spans="1:17" s="19" customFormat="1" ht="19.5" x14ac:dyDescent="0.35">
      <c r="A29" s="17" t="s">
        <v>84</v>
      </c>
      <c r="B29" s="17"/>
      <c r="C29" s="18">
        <f>D24</f>
        <v>0</v>
      </c>
      <c r="D29" s="18" t="s">
        <v>15</v>
      </c>
      <c r="E29" s="18">
        <f>F26</f>
        <v>0</v>
      </c>
      <c r="F29" s="17" t="s">
        <v>16</v>
      </c>
      <c r="G29" s="17"/>
      <c r="I29" s="95">
        <f>(7*C29*E29)/1000</f>
        <v>0</v>
      </c>
      <c r="J29" s="17" t="s">
        <v>65</v>
      </c>
      <c r="K29" s="17"/>
      <c r="L29" s="21"/>
      <c r="M29" s="21"/>
      <c r="N29" s="21"/>
    </row>
    <row r="30" spans="1:17" s="16" customFormat="1" ht="18.75" x14ac:dyDescent="0.3">
      <c r="A30" s="105" t="s">
        <v>290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4"/>
    </row>
    <row r="31" spans="1:17" s="16" customFormat="1" ht="18.75" x14ac:dyDescent="0.3">
      <c r="A31" s="105" t="s">
        <v>291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4"/>
    </row>
    <row r="32" spans="1:17" s="19" customFormat="1" ht="19.5" x14ac:dyDescent="0.35">
      <c r="A32" s="17" t="s">
        <v>245</v>
      </c>
      <c r="B32" s="17"/>
      <c r="C32" s="18">
        <f>D24</f>
        <v>0</v>
      </c>
      <c r="D32" s="18" t="s">
        <v>15</v>
      </c>
      <c r="E32" s="18">
        <f>F26</f>
        <v>0</v>
      </c>
      <c r="F32" s="17" t="s">
        <v>16</v>
      </c>
      <c r="G32" s="17"/>
      <c r="I32" s="95">
        <f>(3*C32*E32)/1000</f>
        <v>0</v>
      </c>
      <c r="J32" s="17" t="s">
        <v>66</v>
      </c>
      <c r="K32" s="17"/>
      <c r="L32" s="21"/>
      <c r="M32" s="21"/>
      <c r="N32" s="21"/>
      <c r="O32" s="21"/>
      <c r="P32" s="21"/>
      <c r="Q32" s="21"/>
    </row>
    <row r="34" spans="1:17" ht="18.75" x14ac:dyDescent="0.3">
      <c r="A34" s="133" t="s">
        <v>78</v>
      </c>
      <c r="B34" s="133"/>
      <c r="C34" s="133"/>
      <c r="D34" s="133"/>
      <c r="E34" s="133"/>
      <c r="F34" s="133"/>
      <c r="G34" s="133"/>
      <c r="H34" s="143"/>
      <c r="I34" s="106"/>
      <c r="J34" s="107"/>
      <c r="K34" s="63" t="s">
        <v>657</v>
      </c>
      <c r="L34" s="34"/>
      <c r="M34" s="34"/>
      <c r="N34" s="34"/>
      <c r="O34" s="34"/>
      <c r="P34" s="34"/>
    </row>
    <row r="35" spans="1:17" s="16" customFormat="1" ht="18.75" x14ac:dyDescent="0.3">
      <c r="A35" s="103" t="s">
        <v>292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4"/>
    </row>
    <row r="36" spans="1:17" s="16" customFormat="1" ht="18.75" x14ac:dyDescent="0.3">
      <c r="A36" s="105" t="s">
        <v>293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4"/>
    </row>
    <row r="37" spans="1:17" s="19" customFormat="1" ht="19.5" x14ac:dyDescent="0.35">
      <c r="A37" s="17" t="s">
        <v>294</v>
      </c>
      <c r="B37" s="17"/>
      <c r="C37" s="18">
        <f>I34</f>
        <v>0</v>
      </c>
      <c r="D37" s="18" t="s">
        <v>15</v>
      </c>
      <c r="E37" s="18">
        <f>F15</f>
        <v>0</v>
      </c>
      <c r="F37" s="17" t="s">
        <v>16</v>
      </c>
      <c r="G37" s="17"/>
      <c r="I37" s="95">
        <f>(3600*C37*E37)/1000</f>
        <v>0</v>
      </c>
      <c r="J37" s="17" t="s">
        <v>65</v>
      </c>
      <c r="K37" s="17"/>
      <c r="L37" s="21"/>
      <c r="M37" s="21"/>
      <c r="N37" s="21"/>
    </row>
    <row r="38" spans="1:17" s="16" customFormat="1" ht="18.75" x14ac:dyDescent="0.3">
      <c r="A38" s="105" t="s">
        <v>295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4"/>
    </row>
    <row r="39" spans="1:17" s="16" customFormat="1" ht="18.75" x14ac:dyDescent="0.3">
      <c r="A39" s="105" t="s">
        <v>296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4"/>
    </row>
    <row r="40" spans="1:17" s="19" customFormat="1" ht="19.5" x14ac:dyDescent="0.35">
      <c r="A40" s="17" t="s">
        <v>297</v>
      </c>
      <c r="B40" s="17"/>
      <c r="C40" s="18">
        <f>I34</f>
        <v>0</v>
      </c>
      <c r="D40" s="18" t="s">
        <v>15</v>
      </c>
      <c r="E40" s="18">
        <f>F15</f>
        <v>0</v>
      </c>
      <c r="F40" s="17" t="s">
        <v>16</v>
      </c>
      <c r="G40" s="17"/>
      <c r="I40" s="95">
        <f>(3100*C40*E40)/1000</f>
        <v>0</v>
      </c>
      <c r="J40" s="17" t="s">
        <v>77</v>
      </c>
      <c r="K40" s="17"/>
      <c r="L40" s="21"/>
      <c r="M40" s="21"/>
      <c r="N40" s="21"/>
    </row>
    <row r="42" spans="1:17" ht="18.75" x14ac:dyDescent="0.3">
      <c r="A42" s="133" t="s">
        <v>79</v>
      </c>
      <c r="B42" s="133"/>
      <c r="C42" s="133"/>
      <c r="D42" s="133"/>
      <c r="E42" s="133"/>
      <c r="F42" s="133"/>
      <c r="G42" s="133"/>
      <c r="H42" s="143"/>
      <c r="I42" s="106"/>
      <c r="J42" s="107"/>
      <c r="K42" s="63" t="s">
        <v>657</v>
      </c>
      <c r="L42" s="34"/>
      <c r="M42" s="34"/>
      <c r="N42" s="34"/>
      <c r="O42" s="34"/>
      <c r="P42" s="34"/>
    </row>
    <row r="43" spans="1:17" s="16" customFormat="1" ht="18.75" x14ac:dyDescent="0.3">
      <c r="A43" s="103" t="s">
        <v>298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4"/>
    </row>
    <row r="44" spans="1:17" s="16" customFormat="1" ht="18.75" x14ac:dyDescent="0.3">
      <c r="A44" s="105" t="s">
        <v>300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4"/>
    </row>
    <row r="45" spans="1:17" s="19" customFormat="1" ht="19.5" x14ac:dyDescent="0.35">
      <c r="A45" s="17" t="s">
        <v>301</v>
      </c>
      <c r="B45" s="17"/>
      <c r="C45" s="18">
        <f>I42</f>
        <v>0</v>
      </c>
      <c r="D45" s="18" t="s">
        <v>15</v>
      </c>
      <c r="E45" s="18">
        <f>F15</f>
        <v>0</v>
      </c>
      <c r="F45" s="17" t="s">
        <v>16</v>
      </c>
      <c r="G45" s="17"/>
      <c r="I45" s="95">
        <f>(5700*C45*E45)/1000</f>
        <v>0</v>
      </c>
      <c r="J45" s="17" t="s">
        <v>65</v>
      </c>
      <c r="K45" s="17"/>
      <c r="L45" s="21"/>
      <c r="M45" s="21"/>
      <c r="N45" s="21"/>
    </row>
    <row r="46" spans="1:17" s="16" customFormat="1" ht="18.75" x14ac:dyDescent="0.3">
      <c r="A46" s="105" t="s">
        <v>299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4"/>
    </row>
    <row r="47" spans="1:17" s="16" customFormat="1" ht="18.75" x14ac:dyDescent="0.3">
      <c r="A47" s="105" t="s">
        <v>302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4"/>
    </row>
    <row r="48" spans="1:17" s="19" customFormat="1" ht="19.5" x14ac:dyDescent="0.35">
      <c r="A48" s="17" t="s">
        <v>303</v>
      </c>
      <c r="B48" s="17"/>
      <c r="C48" s="18">
        <f>I42</f>
        <v>0</v>
      </c>
      <c r="D48" s="18" t="s">
        <v>15</v>
      </c>
      <c r="E48" s="18">
        <f>F15</f>
        <v>0</v>
      </c>
      <c r="F48" s="17" t="s">
        <v>16</v>
      </c>
      <c r="G48" s="17"/>
      <c r="I48" s="95">
        <f>(700*C48*E48)/1000</f>
        <v>0</v>
      </c>
      <c r="J48" s="17" t="s">
        <v>77</v>
      </c>
      <c r="K48" s="17"/>
      <c r="L48" s="21"/>
      <c r="M48" s="21"/>
      <c r="N48" s="21"/>
    </row>
    <row r="50" spans="1:17" ht="18.75" x14ac:dyDescent="0.3">
      <c r="A50" s="133" t="s">
        <v>80</v>
      </c>
      <c r="B50" s="133"/>
      <c r="C50" s="133"/>
      <c r="D50" s="133"/>
      <c r="E50" s="133"/>
      <c r="F50" s="133"/>
      <c r="G50" s="133"/>
      <c r="H50" s="143"/>
      <c r="I50" s="106"/>
      <c r="J50" s="107"/>
      <c r="K50" s="63" t="s">
        <v>657</v>
      </c>
      <c r="L50" s="34"/>
      <c r="M50" s="34"/>
      <c r="N50" s="34"/>
      <c r="O50" s="34"/>
      <c r="P50" s="34"/>
    </row>
    <row r="51" spans="1:17" s="16" customFormat="1" ht="18.75" x14ac:dyDescent="0.3">
      <c r="A51" s="103" t="s">
        <v>292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4"/>
    </row>
    <row r="52" spans="1:17" s="16" customFormat="1" ht="18.75" x14ac:dyDescent="0.3">
      <c r="A52" s="105" t="s">
        <v>293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4"/>
    </row>
    <row r="53" spans="1:17" s="19" customFormat="1" ht="19.5" x14ac:dyDescent="0.35">
      <c r="A53" s="17" t="s">
        <v>294</v>
      </c>
      <c r="B53" s="17"/>
      <c r="C53" s="18">
        <f>I50</f>
        <v>0</v>
      </c>
      <c r="D53" s="18" t="s">
        <v>15</v>
      </c>
      <c r="E53" s="18">
        <f>F15</f>
        <v>0</v>
      </c>
      <c r="F53" s="17" t="s">
        <v>16</v>
      </c>
      <c r="G53" s="17"/>
      <c r="I53" s="95">
        <f>(3600*C53*E53)/1000</f>
        <v>0</v>
      </c>
      <c r="J53" s="17" t="s">
        <v>65</v>
      </c>
      <c r="K53" s="17"/>
      <c r="L53" s="21"/>
      <c r="M53" s="21"/>
      <c r="N53" s="21"/>
    </row>
    <row r="54" spans="1:17" s="16" customFormat="1" ht="18.75" x14ac:dyDescent="0.3">
      <c r="A54" s="105" t="s">
        <v>304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4"/>
    </row>
    <row r="55" spans="1:17" s="16" customFormat="1" ht="18.75" x14ac:dyDescent="0.3">
      <c r="A55" s="105" t="s">
        <v>305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4"/>
    </row>
    <row r="56" spans="1:17" s="19" customFormat="1" ht="19.5" x14ac:dyDescent="0.35">
      <c r="A56" s="17" t="s">
        <v>306</v>
      </c>
      <c r="B56" s="17"/>
      <c r="C56" s="18">
        <f>I50</f>
        <v>0</v>
      </c>
      <c r="D56" s="18" t="s">
        <v>15</v>
      </c>
      <c r="E56" s="18">
        <f>F15</f>
        <v>0</v>
      </c>
      <c r="F56" s="17" t="s">
        <v>16</v>
      </c>
      <c r="G56" s="17"/>
      <c r="I56" s="95">
        <f>(800*C56*E56)/1000</f>
        <v>0</v>
      </c>
      <c r="J56" s="17" t="s">
        <v>77</v>
      </c>
      <c r="K56" s="17"/>
      <c r="L56" s="21"/>
      <c r="M56" s="21"/>
      <c r="N56" s="21"/>
    </row>
    <row r="58" spans="1:17" ht="18.75" x14ac:dyDescent="0.3">
      <c r="A58" s="133" t="s">
        <v>81</v>
      </c>
      <c r="B58" s="133"/>
      <c r="C58" s="133"/>
      <c r="D58" s="133"/>
      <c r="E58" s="133"/>
      <c r="F58" s="133"/>
      <c r="G58" s="133"/>
      <c r="H58" s="143"/>
      <c r="I58" s="106"/>
      <c r="J58" s="107"/>
      <c r="K58" s="63" t="s">
        <v>657</v>
      </c>
      <c r="L58" s="34"/>
      <c r="M58" s="34"/>
      <c r="N58" s="34"/>
      <c r="O58" s="34"/>
      <c r="P58" s="34"/>
    </row>
    <row r="59" spans="1:17" s="16" customFormat="1" ht="18.75" x14ac:dyDescent="0.3">
      <c r="A59" s="103" t="s">
        <v>307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4"/>
    </row>
    <row r="60" spans="1:17" s="16" customFormat="1" ht="18.75" x14ac:dyDescent="0.3">
      <c r="A60" s="105" t="s">
        <v>308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4"/>
    </row>
    <row r="61" spans="1:17" s="19" customFormat="1" ht="19.5" x14ac:dyDescent="0.35">
      <c r="A61" s="17" t="s">
        <v>309</v>
      </c>
      <c r="B61" s="17"/>
      <c r="C61" s="18">
        <f>I58</f>
        <v>0</v>
      </c>
      <c r="D61" s="18" t="s">
        <v>15</v>
      </c>
      <c r="E61" s="18">
        <f>F15</f>
        <v>0</v>
      </c>
      <c r="F61" s="17" t="s">
        <v>16</v>
      </c>
      <c r="G61" s="17"/>
      <c r="I61" s="95">
        <f>(6500*C61*E61)/1000</f>
        <v>0</v>
      </c>
      <c r="J61" s="17" t="s">
        <v>65</v>
      </c>
      <c r="K61" s="17"/>
      <c r="L61" s="21"/>
      <c r="M61" s="21"/>
      <c r="N61" s="21"/>
    </row>
    <row r="62" spans="1:17" s="16" customFormat="1" ht="18.75" x14ac:dyDescent="0.3">
      <c r="A62" s="105" t="s">
        <v>310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4"/>
    </row>
    <row r="63" spans="1:17" s="16" customFormat="1" ht="18.75" x14ac:dyDescent="0.3">
      <c r="A63" s="105" t="s">
        <v>311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4"/>
    </row>
    <row r="64" spans="1:17" s="19" customFormat="1" ht="19.5" x14ac:dyDescent="0.35">
      <c r="A64" s="17" t="s">
        <v>312</v>
      </c>
      <c r="B64" s="17"/>
      <c r="C64" s="18">
        <f>I58</f>
        <v>0</v>
      </c>
      <c r="D64" s="18" t="s">
        <v>15</v>
      </c>
      <c r="E64" s="18">
        <f>F15</f>
        <v>0</v>
      </c>
      <c r="F64" s="17" t="s">
        <v>16</v>
      </c>
      <c r="G64" s="17"/>
      <c r="I64" s="95">
        <f>(1200*C64*E64)/1000</f>
        <v>0</v>
      </c>
      <c r="J64" s="17" t="s">
        <v>77</v>
      </c>
      <c r="K64" s="17"/>
      <c r="L64" s="21"/>
      <c r="M64" s="21"/>
      <c r="N64" s="21"/>
    </row>
    <row r="66" spans="1:12" ht="18.75" x14ac:dyDescent="0.3">
      <c r="A66" s="102" t="s">
        <v>60</v>
      </c>
      <c r="B66" s="102"/>
      <c r="C66" s="102"/>
      <c r="D66" s="102"/>
      <c r="E66" s="104">
        <f>I18+I21+I29+I32+I37+I40+I45+I48+I53+I56+I61+I64</f>
        <v>0</v>
      </c>
      <c r="F66" s="104"/>
      <c r="G66" s="104"/>
      <c r="H66" s="104"/>
      <c r="I66" s="103" t="s">
        <v>27</v>
      </c>
      <c r="J66" s="103"/>
      <c r="K66" s="103"/>
      <c r="L66" s="103"/>
    </row>
    <row r="67" spans="1:12" ht="18.75" x14ac:dyDescent="0.3">
      <c r="A67" s="26" t="s">
        <v>8</v>
      </c>
    </row>
    <row r="68" spans="1:12" ht="18.75" x14ac:dyDescent="0.3">
      <c r="A68" s="26" t="s">
        <v>149</v>
      </c>
    </row>
    <row r="69" spans="1:12" ht="12" customHeight="1" x14ac:dyDescent="0.3">
      <c r="A69" s="27"/>
    </row>
    <row r="70" spans="1:12" ht="18.75" x14ac:dyDescent="0.3">
      <c r="A70" s="26" t="s">
        <v>9</v>
      </c>
    </row>
    <row r="71" spans="1:12" ht="18.75" x14ac:dyDescent="0.3">
      <c r="A71" s="26"/>
    </row>
    <row r="72" spans="1:12" ht="18.75" x14ac:dyDescent="0.3">
      <c r="A72" s="26" t="s">
        <v>10</v>
      </c>
    </row>
  </sheetData>
  <sheetProtection algorithmName="SHA-512" hashValue="mDnKtkc/zq9rSZCRAsa/Rk3nQSNqZkqnewOxOYj1SF9akrtsA9qYq8xsoXIqthbEPQ8K39BkNAPxX/taipN43Q==" saltValue="6kwS2lhvlfa0ObtQANH75w==" spinCount="100000" sheet="1" objects="1" scenarios="1"/>
  <mergeCells count="54">
    <mergeCell ref="I42:J42"/>
    <mergeCell ref="A43:P43"/>
    <mergeCell ref="A44:P44"/>
    <mergeCell ref="A39:P39"/>
    <mergeCell ref="I34:J34"/>
    <mergeCell ref="A34:H34"/>
    <mergeCell ref="A35:P35"/>
    <mergeCell ref="A36:P36"/>
    <mergeCell ref="A38:P38"/>
    <mergeCell ref="A42:H42"/>
    <mergeCell ref="A66:D66"/>
    <mergeCell ref="E66:H66"/>
    <mergeCell ref="I66:L66"/>
    <mergeCell ref="A58:H58"/>
    <mergeCell ref="I58:J58"/>
    <mergeCell ref="A62:P62"/>
    <mergeCell ref="A63:P63"/>
    <mergeCell ref="A59:P59"/>
    <mergeCell ref="A60:P60"/>
    <mergeCell ref="A51:P51"/>
    <mergeCell ref="A52:P52"/>
    <mergeCell ref="A54:P54"/>
    <mergeCell ref="A55:P55"/>
    <mergeCell ref="A46:P46"/>
    <mergeCell ref="A47:P47"/>
    <mergeCell ref="A50:H50"/>
    <mergeCell ref="I50:J50"/>
    <mergeCell ref="A31:P31"/>
    <mergeCell ref="A27:P27"/>
    <mergeCell ref="C6:F6"/>
    <mergeCell ref="G6:H6"/>
    <mergeCell ref="J6:M6"/>
    <mergeCell ref="A15:E15"/>
    <mergeCell ref="F15:H15"/>
    <mergeCell ref="A17:P17"/>
    <mergeCell ref="A20:P20"/>
    <mergeCell ref="A8:I8"/>
    <mergeCell ref="A23:P23"/>
    <mergeCell ref="D24:F24"/>
    <mergeCell ref="A26:E26"/>
    <mergeCell ref="A28:P28"/>
    <mergeCell ref="F26:H26"/>
    <mergeCell ref="A30:P30"/>
    <mergeCell ref="A19:P19"/>
    <mergeCell ref="D13:F13"/>
    <mergeCell ref="J8:P8"/>
    <mergeCell ref="A12:P12"/>
    <mergeCell ref="A16:P16"/>
    <mergeCell ref="A10:P10"/>
    <mergeCell ref="A5:P5"/>
    <mergeCell ref="A1:P1"/>
    <mergeCell ref="A2:P2"/>
    <mergeCell ref="A3:P3"/>
    <mergeCell ref="A4:P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91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3">
    <pageSetUpPr fitToPage="1"/>
  </sheetPr>
  <dimension ref="A1:Y43"/>
  <sheetViews>
    <sheetView workbookViewId="0">
      <selection activeCell="F13" sqref="F13:H13"/>
    </sheetView>
  </sheetViews>
  <sheetFormatPr defaultRowHeight="12.75" x14ac:dyDescent="0.2"/>
  <cols>
    <col min="1" max="1" width="11.85546875" style="5" customWidth="1"/>
    <col min="2" max="2" width="6.7109375" style="5" customWidth="1"/>
    <col min="3" max="3" width="7.140625" style="5" customWidth="1"/>
    <col min="4" max="4" width="5.85546875" style="5" customWidth="1"/>
    <col min="5" max="5" width="7.42578125" style="5" customWidth="1"/>
    <col min="6" max="6" width="6.28515625" style="5" customWidth="1"/>
    <col min="7" max="7" width="4.42578125" style="5" customWidth="1"/>
    <col min="8" max="8" width="8.140625" style="5" customWidth="1"/>
    <col min="9" max="9" width="8.57031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24" width="7.570312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  <c r="R1" s="19"/>
      <c r="S1" s="19"/>
      <c r="T1" s="19"/>
      <c r="U1" s="19"/>
      <c r="V1" s="19"/>
      <c r="W1" s="19"/>
      <c r="X1" s="19"/>
      <c r="Y1" s="19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9"/>
      <c r="S2" s="19"/>
      <c r="T2" s="19"/>
      <c r="U2" s="19"/>
      <c r="V2" s="19"/>
      <c r="W2" s="19"/>
      <c r="X2" s="19"/>
      <c r="Y2" s="19"/>
    </row>
    <row r="3" spans="1:25" ht="18.75" customHeight="1" x14ac:dyDescent="0.3">
      <c r="A3" s="124" t="s">
        <v>313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9"/>
      <c r="S3" s="19"/>
      <c r="T3" s="19"/>
      <c r="U3" s="19"/>
      <c r="V3" s="19"/>
      <c r="W3" s="19"/>
      <c r="X3" s="19"/>
      <c r="Y3" s="19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9"/>
      <c r="S4" s="19"/>
      <c r="T4" s="19"/>
      <c r="U4" s="19"/>
      <c r="V4" s="19"/>
      <c r="W4" s="19"/>
      <c r="X4" s="19"/>
      <c r="Y4" s="19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9"/>
      <c r="S5" s="19"/>
      <c r="T5" s="19"/>
      <c r="U5" s="19"/>
      <c r="V5" s="19"/>
      <c r="W5" s="19"/>
      <c r="X5" s="19"/>
      <c r="Y5" s="19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9"/>
      <c r="S6" s="19"/>
      <c r="T6" s="19"/>
      <c r="U6" s="19"/>
      <c r="V6" s="19"/>
      <c r="W6" s="19"/>
      <c r="X6" s="19"/>
      <c r="Y6" s="19"/>
    </row>
    <row r="7" spans="1:25" ht="14.25" customHeight="1" x14ac:dyDescent="0.3">
      <c r="A7" s="10"/>
      <c r="R7" s="19"/>
      <c r="S7" s="19"/>
      <c r="T7" s="19"/>
      <c r="U7" s="19"/>
      <c r="V7" s="19"/>
      <c r="W7" s="19"/>
      <c r="X7" s="19"/>
      <c r="Y7" s="19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9"/>
      <c r="S8" s="19"/>
      <c r="T8" s="19"/>
      <c r="U8" s="19"/>
      <c r="V8" s="19"/>
      <c r="W8" s="19"/>
      <c r="X8" s="19"/>
      <c r="Y8" s="19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9"/>
      <c r="S9" s="19"/>
      <c r="T9" s="19"/>
      <c r="U9" s="19"/>
      <c r="V9" s="19"/>
      <c r="W9" s="19"/>
      <c r="X9" s="19"/>
      <c r="Y9" s="19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9"/>
      <c r="S10" s="19"/>
      <c r="T10" s="19"/>
      <c r="U10" s="19"/>
      <c r="V10" s="19"/>
      <c r="W10" s="19"/>
      <c r="X10" s="19"/>
      <c r="Y10" s="19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9"/>
      <c r="S11" s="19"/>
      <c r="T11" s="19"/>
      <c r="U11" s="19"/>
      <c r="V11" s="19"/>
      <c r="W11" s="19"/>
      <c r="X11" s="19"/>
      <c r="Y11" s="19"/>
    </row>
    <row r="12" spans="1:25" ht="18.75" x14ac:dyDescent="0.3">
      <c r="A12" s="50" t="s">
        <v>316</v>
      </c>
      <c r="Q12" s="5"/>
      <c r="R12" s="19"/>
      <c r="S12" s="19"/>
      <c r="T12" s="19"/>
      <c r="U12" s="19"/>
      <c r="V12" s="19"/>
      <c r="W12" s="19"/>
      <c r="X12" s="19"/>
      <c r="Y12" s="19"/>
    </row>
    <row r="13" spans="1:25" ht="18.75" x14ac:dyDescent="0.3">
      <c r="A13" s="105" t="s">
        <v>600</v>
      </c>
      <c r="B13" s="105"/>
      <c r="C13" s="105"/>
      <c r="D13" s="105"/>
      <c r="E13" s="105"/>
      <c r="F13" s="106"/>
      <c r="G13" s="108"/>
      <c r="H13" s="107"/>
      <c r="I13" s="13"/>
      <c r="Q13" s="5"/>
    </row>
    <row r="14" spans="1:25" ht="18.75" x14ac:dyDescent="0.3">
      <c r="A14" s="105" t="s">
        <v>314</v>
      </c>
      <c r="B14" s="105"/>
      <c r="C14" s="105"/>
      <c r="D14" s="105"/>
      <c r="E14" s="105"/>
      <c r="F14" s="105"/>
      <c r="G14" s="105"/>
      <c r="H14" s="105"/>
      <c r="I14" s="115"/>
      <c r="J14" s="106"/>
      <c r="K14" s="108"/>
      <c r="L14" s="107"/>
    </row>
    <row r="15" spans="1:25" ht="6" customHeight="1" x14ac:dyDescent="0.3">
      <c r="A15" s="11"/>
      <c r="B15" s="11"/>
      <c r="C15" s="11"/>
      <c r="D15" s="11"/>
      <c r="J15" s="9"/>
    </row>
    <row r="16" spans="1:25" ht="18.75" x14ac:dyDescent="0.3">
      <c r="A16" s="105" t="s">
        <v>64</v>
      </c>
      <c r="B16" s="105"/>
      <c r="C16" s="105"/>
      <c r="D16" s="105"/>
      <c r="E16" s="105"/>
      <c r="F16" s="106"/>
      <c r="G16" s="108"/>
      <c r="H16" s="107"/>
      <c r="I16" s="15" t="s">
        <v>69</v>
      </c>
      <c r="J16" s="9"/>
    </row>
    <row r="17" spans="1:17" s="16" customFormat="1" ht="18.75" x14ac:dyDescent="0.3">
      <c r="A17" s="14" t="s">
        <v>633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</row>
    <row r="18" spans="1:17" s="16" customFormat="1" ht="18.75" x14ac:dyDescent="0.3">
      <c r="A18" s="14" t="s">
        <v>532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9" customFormat="1" ht="19.5" x14ac:dyDescent="0.35">
      <c r="A19" s="17" t="s">
        <v>599</v>
      </c>
      <c r="B19" s="18">
        <f>J14</f>
        <v>0</v>
      </c>
      <c r="C19" s="18" t="s">
        <v>15</v>
      </c>
      <c r="D19" s="18">
        <f>F13</f>
        <v>0</v>
      </c>
      <c r="E19" s="18" t="s">
        <v>15</v>
      </c>
      <c r="F19" s="17">
        <f>F16</f>
        <v>0</v>
      </c>
      <c r="G19" s="17" t="s">
        <v>16</v>
      </c>
      <c r="I19" s="95">
        <f>(185*B19*D19*F19)/1000</f>
        <v>0</v>
      </c>
      <c r="J19" s="17" t="s">
        <v>65</v>
      </c>
      <c r="K19" s="17"/>
      <c r="L19" s="21"/>
      <c r="M19" s="21"/>
      <c r="N19" s="21"/>
      <c r="Q19" s="22"/>
    </row>
    <row r="20" spans="1:17" s="16" customFormat="1" ht="18.75" x14ac:dyDescent="0.3">
      <c r="A20" s="14" t="s">
        <v>634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</row>
    <row r="21" spans="1:17" s="16" customFormat="1" ht="18.75" x14ac:dyDescent="0.3">
      <c r="A21" s="14" t="s">
        <v>533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</row>
    <row r="22" spans="1:17" s="19" customFormat="1" ht="19.5" x14ac:dyDescent="0.35">
      <c r="A22" s="17" t="s">
        <v>315</v>
      </c>
      <c r="B22" s="17">
        <f>J14</f>
        <v>0</v>
      </c>
      <c r="C22" s="18" t="s">
        <v>15</v>
      </c>
      <c r="D22" s="18">
        <f>F13</f>
        <v>0</v>
      </c>
      <c r="E22" s="18" t="s">
        <v>15</v>
      </c>
      <c r="F22" s="17">
        <f>F16</f>
        <v>0</v>
      </c>
      <c r="G22" s="17" t="s">
        <v>16</v>
      </c>
      <c r="I22" s="95">
        <f>(65*B22*D22*F22)/1000</f>
        <v>0</v>
      </c>
      <c r="J22" s="17" t="s">
        <v>66</v>
      </c>
      <c r="K22" s="17"/>
      <c r="L22" s="21"/>
      <c r="M22" s="21"/>
      <c r="N22" s="21"/>
      <c r="O22" s="21"/>
      <c r="P22" s="21"/>
      <c r="Q22" s="23"/>
    </row>
    <row r="23" spans="1:17" s="19" customFormat="1" ht="13.5" customHeight="1" x14ac:dyDescent="0.35">
      <c r="A23" s="17"/>
      <c r="B23" s="17"/>
      <c r="C23" s="18"/>
      <c r="D23" s="18"/>
      <c r="E23" s="18"/>
      <c r="F23" s="17"/>
      <c r="G23" s="17"/>
      <c r="I23" s="20"/>
      <c r="J23" s="17"/>
      <c r="K23" s="17"/>
      <c r="L23" s="21"/>
      <c r="M23" s="21"/>
      <c r="N23" s="21"/>
      <c r="O23" s="21"/>
      <c r="P23" s="21"/>
      <c r="Q23" s="23"/>
    </row>
    <row r="24" spans="1:17" ht="13.5" customHeight="1" x14ac:dyDescent="0.3">
      <c r="A24" s="50" t="s">
        <v>317</v>
      </c>
      <c r="Q24" s="5"/>
    </row>
    <row r="25" spans="1:17" ht="18.75" x14ac:dyDescent="0.3">
      <c r="A25" s="105" t="s">
        <v>600</v>
      </c>
      <c r="B25" s="105"/>
      <c r="C25" s="105"/>
      <c r="D25" s="105"/>
      <c r="E25" s="105"/>
      <c r="F25" s="105"/>
      <c r="G25" s="144"/>
      <c r="H25" s="145"/>
      <c r="Q25" s="5"/>
    </row>
    <row r="26" spans="1:17" ht="18.75" x14ac:dyDescent="0.3">
      <c r="A26" s="105" t="s">
        <v>318</v>
      </c>
      <c r="B26" s="105"/>
      <c r="C26" s="105"/>
      <c r="D26" s="105"/>
      <c r="E26" s="105"/>
      <c r="F26" s="105"/>
      <c r="G26" s="105"/>
      <c r="H26" s="105"/>
      <c r="I26" s="115"/>
      <c r="J26" s="106"/>
      <c r="K26" s="108"/>
      <c r="L26" s="107"/>
    </row>
    <row r="27" spans="1:17" ht="6" customHeight="1" x14ac:dyDescent="0.3">
      <c r="A27" s="11"/>
      <c r="B27" s="11"/>
      <c r="C27" s="11"/>
      <c r="D27" s="11"/>
      <c r="J27" s="9"/>
    </row>
    <row r="28" spans="1:17" ht="18.75" x14ac:dyDescent="0.3">
      <c r="A28" s="105" t="s">
        <v>64</v>
      </c>
      <c r="B28" s="105"/>
      <c r="C28" s="105"/>
      <c r="D28" s="105"/>
      <c r="E28" s="105"/>
      <c r="F28" s="106"/>
      <c r="G28" s="108"/>
      <c r="H28" s="107"/>
      <c r="I28" s="15" t="s">
        <v>69</v>
      </c>
      <c r="J28" s="9"/>
    </row>
    <row r="29" spans="1:17" s="16" customFormat="1" ht="18.75" x14ac:dyDescent="0.3">
      <c r="A29" s="14" t="s">
        <v>635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</row>
    <row r="30" spans="1:17" s="16" customFormat="1" ht="18.75" x14ac:dyDescent="0.3">
      <c r="A30" s="14" t="s">
        <v>534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</row>
    <row r="31" spans="1:17" s="19" customFormat="1" ht="19.5" x14ac:dyDescent="0.35">
      <c r="A31" s="17" t="s">
        <v>601</v>
      </c>
      <c r="B31" s="17">
        <f>J26</f>
        <v>0</v>
      </c>
      <c r="C31" s="18" t="s">
        <v>15</v>
      </c>
      <c r="D31" s="18">
        <f>G25</f>
        <v>0</v>
      </c>
      <c r="E31" s="18" t="s">
        <v>15</v>
      </c>
      <c r="F31" s="17">
        <f>F28</f>
        <v>0</v>
      </c>
      <c r="G31" s="17" t="s">
        <v>597</v>
      </c>
      <c r="I31" s="95">
        <f>(7*B31*D31*F31)/1000</f>
        <v>0</v>
      </c>
      <c r="J31" s="17" t="s">
        <v>65</v>
      </c>
      <c r="K31" s="17"/>
      <c r="L31" s="21"/>
      <c r="M31" s="21"/>
      <c r="N31" s="21"/>
      <c r="Q31" s="22"/>
    </row>
    <row r="32" spans="1:17" s="16" customFormat="1" ht="18.75" x14ac:dyDescent="0.3">
      <c r="A32" s="14" t="s">
        <v>636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</row>
    <row r="33" spans="1:17" s="16" customFormat="1" ht="18.75" x14ac:dyDescent="0.3">
      <c r="A33" s="14" t="s">
        <v>602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</row>
    <row r="34" spans="1:17" s="19" customFormat="1" ht="19.5" x14ac:dyDescent="0.35">
      <c r="A34" s="17" t="s">
        <v>222</v>
      </c>
      <c r="B34" s="17">
        <f>J26</f>
        <v>0</v>
      </c>
      <c r="C34" s="18" t="s">
        <v>15</v>
      </c>
      <c r="D34" s="18">
        <f>G25</f>
        <v>0</v>
      </c>
      <c r="E34" s="18" t="s">
        <v>15</v>
      </c>
      <c r="F34" s="17">
        <f>F28</f>
        <v>0</v>
      </c>
      <c r="G34" s="17" t="s">
        <v>16</v>
      </c>
      <c r="I34" s="95">
        <f>(5*B34*D34*F34)/1000</f>
        <v>0</v>
      </c>
      <c r="J34" s="17" t="s">
        <v>66</v>
      </c>
      <c r="K34" s="17"/>
      <c r="L34" s="21"/>
      <c r="M34" s="21"/>
      <c r="N34" s="21"/>
      <c r="O34" s="21"/>
      <c r="P34" s="21"/>
      <c r="Q34" s="23"/>
    </row>
    <row r="35" spans="1:17" s="19" customFormat="1" ht="19.5" x14ac:dyDescent="0.35">
      <c r="A35" s="17"/>
      <c r="B35" s="17"/>
      <c r="C35" s="18"/>
      <c r="D35" s="18"/>
      <c r="E35" s="18"/>
      <c r="F35" s="17"/>
      <c r="G35" s="17"/>
      <c r="I35" s="20"/>
      <c r="J35" s="17"/>
      <c r="K35" s="17"/>
      <c r="L35" s="21"/>
      <c r="M35" s="21"/>
      <c r="N35" s="21"/>
      <c r="O35" s="21"/>
      <c r="P35" s="21"/>
      <c r="Q35" s="23"/>
    </row>
    <row r="36" spans="1:17" s="19" customFormat="1" ht="19.5" x14ac:dyDescent="0.35">
      <c r="A36" s="17"/>
      <c r="B36" s="17"/>
      <c r="C36" s="18"/>
      <c r="D36" s="18"/>
      <c r="E36" s="18"/>
      <c r="F36" s="17"/>
      <c r="G36" s="17"/>
      <c r="I36" s="20"/>
      <c r="J36" s="17"/>
      <c r="K36" s="17"/>
      <c r="L36" s="21"/>
      <c r="M36" s="21"/>
      <c r="N36" s="21"/>
      <c r="O36" s="21"/>
      <c r="P36" s="21"/>
      <c r="Q36" s="23"/>
    </row>
    <row r="37" spans="1:17" ht="18.75" x14ac:dyDescent="0.3">
      <c r="A37" s="102" t="s">
        <v>60</v>
      </c>
      <c r="B37" s="102"/>
      <c r="C37" s="102"/>
      <c r="D37" s="102"/>
      <c r="E37" s="104">
        <f>I19+I22+I31+I34</f>
        <v>0</v>
      </c>
      <c r="F37" s="104"/>
      <c r="G37" s="104"/>
      <c r="H37" s="104"/>
      <c r="I37" s="103" t="s">
        <v>27</v>
      </c>
      <c r="J37" s="103"/>
      <c r="K37" s="103"/>
      <c r="L37" s="103"/>
      <c r="Q37" s="5"/>
    </row>
    <row r="38" spans="1:17" ht="18.75" x14ac:dyDescent="0.3">
      <c r="A38" s="26" t="s">
        <v>8</v>
      </c>
    </row>
    <row r="39" spans="1:17" ht="18.75" x14ac:dyDescent="0.3">
      <c r="A39" s="26" t="s">
        <v>149</v>
      </c>
      <c r="Q39" s="5"/>
    </row>
    <row r="40" spans="1:17" ht="12" customHeight="1" x14ac:dyDescent="0.3">
      <c r="A40" s="27"/>
    </row>
    <row r="41" spans="1:17" ht="18.75" x14ac:dyDescent="0.3">
      <c r="A41" s="26" t="s">
        <v>9</v>
      </c>
    </row>
    <row r="42" spans="1:17" ht="18.75" x14ac:dyDescent="0.3">
      <c r="A42" s="26"/>
    </row>
    <row r="43" spans="1:17" ht="18.75" x14ac:dyDescent="0.3">
      <c r="A43" s="26" t="s">
        <v>10</v>
      </c>
    </row>
  </sheetData>
  <sheetProtection password="CA9C" sheet="1" objects="1" scenarios="1"/>
  <protectedRanges>
    <protectedRange sqref="A4 G6 J6 J8 A10 F13 J14 F16 G25 F28 J26" name="Диапазон1"/>
  </protectedRanges>
  <mergeCells count="26">
    <mergeCell ref="J6:M6"/>
    <mergeCell ref="C6:F6"/>
    <mergeCell ref="G6:H6"/>
    <mergeCell ref="A13:E13"/>
    <mergeCell ref="F13:H13"/>
    <mergeCell ref="A8:I8"/>
    <mergeCell ref="J8:P8"/>
    <mergeCell ref="A10:P10"/>
    <mergeCell ref="A37:D37"/>
    <mergeCell ref="E37:H37"/>
    <mergeCell ref="I37:L37"/>
    <mergeCell ref="A14:I14"/>
    <mergeCell ref="J14:L14"/>
    <mergeCell ref="A16:E16"/>
    <mergeCell ref="F16:H16"/>
    <mergeCell ref="A26:I26"/>
    <mergeCell ref="J26:L26"/>
    <mergeCell ref="A28:E28"/>
    <mergeCell ref="F28:H28"/>
    <mergeCell ref="A25:F25"/>
    <mergeCell ref="G25:H25"/>
    <mergeCell ref="A1:P1"/>
    <mergeCell ref="A2:P2"/>
    <mergeCell ref="A3:P3"/>
    <mergeCell ref="A4:P4"/>
    <mergeCell ref="A5:P5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4">
    <pageSetUpPr fitToPage="1"/>
  </sheetPr>
  <dimension ref="A1:S30"/>
  <sheetViews>
    <sheetView topLeftCell="A4" workbookViewId="0">
      <selection activeCell="L12" sqref="L12:N12"/>
    </sheetView>
  </sheetViews>
  <sheetFormatPr defaultRowHeight="12.75" x14ac:dyDescent="0.2"/>
  <cols>
    <col min="1" max="1" width="5.140625" style="5" customWidth="1"/>
    <col min="2" max="2" width="7.140625" style="5" customWidth="1"/>
    <col min="3" max="3" width="6" style="5" customWidth="1"/>
    <col min="4" max="4" width="5.85546875" style="5" customWidth="1"/>
    <col min="5" max="5" width="5.140625" style="5" customWidth="1"/>
    <col min="6" max="6" width="5.85546875" style="5" customWidth="1"/>
    <col min="7" max="7" width="8.28515625" style="5" customWidth="1"/>
    <col min="8" max="8" width="2.5703125" style="5" customWidth="1"/>
    <col min="9" max="9" width="2.85546875" style="5" customWidth="1"/>
    <col min="10" max="10" width="7.140625" style="5" customWidth="1"/>
    <col min="11" max="11" width="8.7109375" style="5" customWidth="1"/>
    <col min="12" max="12" width="3.5703125" style="5" customWidth="1"/>
    <col min="13" max="13" width="4" style="5" customWidth="1"/>
    <col min="14" max="14" width="4.5703125" style="5" customWidth="1"/>
    <col min="15" max="15" width="5.28515625" style="5" customWidth="1"/>
    <col min="16" max="16" width="4.140625" style="5" customWidth="1"/>
    <col min="17" max="17" width="4.85546875" style="5" customWidth="1"/>
    <col min="18" max="18" width="7.85546875" style="5" customWidth="1"/>
    <col min="19" max="19" width="7.7109375" style="9" customWidth="1"/>
    <col min="20" max="20" width="7.85546875" style="5" customWidth="1"/>
    <col min="21" max="21" width="3.85546875" style="5" customWidth="1"/>
    <col min="22" max="26" width="7.85546875" style="5" customWidth="1"/>
    <col min="27" max="16384" width="9.140625" style="5"/>
  </cols>
  <sheetData>
    <row r="1" spans="1:19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4"/>
    </row>
    <row r="2" spans="1:19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4"/>
    </row>
    <row r="3" spans="1:19" ht="18.75" customHeight="1" x14ac:dyDescent="0.3">
      <c r="A3" s="124" t="s">
        <v>82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4"/>
    </row>
    <row r="4" spans="1:19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7"/>
      <c r="S4" s="6"/>
    </row>
    <row r="5" spans="1:19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7"/>
    </row>
    <row r="6" spans="1:19" ht="18.75" x14ac:dyDescent="0.3">
      <c r="A6" s="8"/>
      <c r="B6" s="8"/>
      <c r="C6" s="110" t="s">
        <v>28</v>
      </c>
      <c r="D6" s="110"/>
      <c r="E6" s="110"/>
      <c r="F6" s="110"/>
      <c r="G6" s="110"/>
      <c r="H6" s="110"/>
      <c r="I6" s="106"/>
      <c r="J6" s="107"/>
      <c r="K6" s="8" t="s">
        <v>29</v>
      </c>
      <c r="L6" s="106"/>
      <c r="M6" s="108"/>
      <c r="N6" s="108"/>
      <c r="O6" s="107"/>
      <c r="P6" s="8"/>
      <c r="Q6" s="8"/>
      <c r="R6" s="8"/>
    </row>
    <row r="7" spans="1:19" ht="14.25" customHeight="1" x14ac:dyDescent="0.3">
      <c r="A7" s="10"/>
    </row>
    <row r="8" spans="1:19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6"/>
      <c r="M8" s="108"/>
      <c r="N8" s="108"/>
      <c r="O8" s="108"/>
      <c r="P8" s="108"/>
      <c r="Q8" s="108"/>
      <c r="R8" s="107"/>
    </row>
    <row r="9" spans="1:19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</row>
    <row r="10" spans="1:19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7"/>
    </row>
    <row r="11" spans="1:19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8.75" x14ac:dyDescent="0.3">
      <c r="A12" s="105" t="s">
        <v>319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15"/>
      <c r="L12" s="106"/>
      <c r="M12" s="108"/>
      <c r="N12" s="107"/>
    </row>
    <row r="13" spans="1:19" ht="6" customHeight="1" x14ac:dyDescent="0.3">
      <c r="A13" s="11"/>
      <c r="B13" s="11"/>
      <c r="C13" s="11"/>
      <c r="D13" s="11"/>
      <c r="E13" s="11"/>
      <c r="F13" s="11"/>
      <c r="L13" s="9"/>
    </row>
    <row r="14" spans="1:19" ht="18.75" x14ac:dyDescent="0.3">
      <c r="A14" s="105" t="s">
        <v>64</v>
      </c>
      <c r="B14" s="105"/>
      <c r="C14" s="105"/>
      <c r="D14" s="105"/>
      <c r="E14" s="105"/>
      <c r="F14" s="105"/>
      <c r="G14" s="105"/>
      <c r="H14" s="106"/>
      <c r="I14" s="108"/>
      <c r="J14" s="107"/>
      <c r="K14" s="15" t="s">
        <v>69</v>
      </c>
      <c r="L14" s="9"/>
    </row>
    <row r="15" spans="1:19" s="78" customFormat="1" ht="9" customHeight="1" x14ac:dyDescent="0.3">
      <c r="A15" s="74"/>
      <c r="B15" s="74"/>
      <c r="C15" s="74"/>
      <c r="D15" s="74"/>
      <c r="E15" s="74"/>
      <c r="F15" s="74"/>
      <c r="G15" s="74"/>
      <c r="H15" s="75"/>
      <c r="I15" s="75"/>
      <c r="J15" s="75"/>
      <c r="K15" s="76"/>
      <c r="L15" s="77"/>
      <c r="S15" s="77"/>
    </row>
    <row r="16" spans="1:19" ht="18.75" x14ac:dyDescent="0.3">
      <c r="A16" s="105" t="s">
        <v>598</v>
      </c>
      <c r="B16" s="105"/>
      <c r="C16" s="105"/>
      <c r="D16" s="105"/>
      <c r="E16" s="105"/>
      <c r="F16" s="105"/>
      <c r="G16" s="105"/>
      <c r="H16" s="106"/>
      <c r="I16" s="108"/>
      <c r="J16" s="107"/>
      <c r="K16" s="15" t="s">
        <v>69</v>
      </c>
      <c r="L16" s="9"/>
    </row>
    <row r="17" spans="1:19" s="16" customFormat="1" ht="18.75" x14ac:dyDescent="0.3">
      <c r="A17" s="14" t="s">
        <v>320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r="18" spans="1:19" s="16" customFormat="1" ht="18.75" x14ac:dyDescent="0.3">
      <c r="A18" s="14" t="s">
        <v>637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</row>
    <row r="19" spans="1:19" s="19" customFormat="1" ht="19.5" x14ac:dyDescent="0.35">
      <c r="A19" s="17" t="s">
        <v>321</v>
      </c>
      <c r="B19" s="17"/>
      <c r="C19" s="18">
        <f>L12</f>
        <v>0</v>
      </c>
      <c r="D19" s="18" t="s">
        <v>15</v>
      </c>
      <c r="E19" s="18">
        <f>H14</f>
        <v>0</v>
      </c>
      <c r="F19" s="18" t="s">
        <v>15</v>
      </c>
      <c r="G19" s="18">
        <f>H16</f>
        <v>0</v>
      </c>
      <c r="H19" s="17" t="s">
        <v>16</v>
      </c>
      <c r="I19" s="17"/>
      <c r="K19" s="95">
        <f>(7.8*C19*G19*E19)/1000</f>
        <v>0</v>
      </c>
      <c r="L19" s="17" t="s">
        <v>65</v>
      </c>
      <c r="M19" s="17"/>
      <c r="N19" s="21"/>
      <c r="O19" s="21"/>
      <c r="P19" s="21"/>
      <c r="S19" s="22"/>
    </row>
    <row r="20" spans="1:19" s="16" customFormat="1" ht="18.75" x14ac:dyDescent="0.3">
      <c r="A20" s="14" t="s">
        <v>638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</row>
    <row r="21" spans="1:19" s="16" customFormat="1" ht="18.75" x14ac:dyDescent="0.3">
      <c r="A21" s="14" t="s">
        <v>639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</row>
    <row r="22" spans="1:19" s="19" customFormat="1" ht="19.5" x14ac:dyDescent="0.35">
      <c r="A22" s="17" t="s">
        <v>322</v>
      </c>
      <c r="B22" s="17"/>
      <c r="C22" s="18">
        <f>L12</f>
        <v>0</v>
      </c>
      <c r="D22" s="18" t="s">
        <v>15</v>
      </c>
      <c r="E22" s="18">
        <f>H14</f>
        <v>0</v>
      </c>
      <c r="F22" s="18" t="s">
        <v>15</v>
      </c>
      <c r="G22" s="18">
        <f>H16</f>
        <v>0</v>
      </c>
      <c r="H22" s="17" t="s">
        <v>16</v>
      </c>
      <c r="I22" s="17"/>
      <c r="K22" s="95">
        <f>(5.2*C22*G22*E22)/1000</f>
        <v>0</v>
      </c>
      <c r="L22" s="17" t="s">
        <v>66</v>
      </c>
      <c r="M22" s="17"/>
      <c r="N22" s="21"/>
      <c r="O22" s="21"/>
      <c r="P22" s="21"/>
      <c r="Q22" s="21"/>
      <c r="R22" s="21"/>
      <c r="S22" s="23"/>
    </row>
    <row r="24" spans="1:19" ht="18.75" x14ac:dyDescent="0.3">
      <c r="A24" s="102" t="s">
        <v>60</v>
      </c>
      <c r="B24" s="102"/>
      <c r="C24" s="102"/>
      <c r="D24" s="102"/>
      <c r="E24" s="44"/>
      <c r="F24" s="44"/>
      <c r="G24" s="104">
        <f>K19+K22</f>
        <v>0</v>
      </c>
      <c r="H24" s="104"/>
      <c r="I24" s="104"/>
      <c r="J24" s="104"/>
      <c r="K24" s="103" t="s">
        <v>27</v>
      </c>
      <c r="L24" s="103"/>
      <c r="M24" s="103"/>
      <c r="N24" s="103"/>
    </row>
    <row r="25" spans="1:19" ht="18.75" x14ac:dyDescent="0.3">
      <c r="A25" s="26" t="s">
        <v>8</v>
      </c>
    </row>
    <row r="26" spans="1:19" ht="18.75" x14ac:dyDescent="0.3">
      <c r="A26" s="26" t="s">
        <v>149</v>
      </c>
      <c r="S26" s="5"/>
    </row>
    <row r="27" spans="1:19" ht="12" customHeight="1" x14ac:dyDescent="0.3">
      <c r="A27" s="27"/>
    </row>
    <row r="28" spans="1:19" ht="18.75" x14ac:dyDescent="0.3">
      <c r="A28" s="26" t="s">
        <v>9</v>
      </c>
    </row>
    <row r="29" spans="1:19" ht="18.75" x14ac:dyDescent="0.3">
      <c r="A29" s="26"/>
    </row>
    <row r="30" spans="1:19" ht="18.75" x14ac:dyDescent="0.3">
      <c r="A30" s="26" t="s">
        <v>10</v>
      </c>
    </row>
  </sheetData>
  <sheetProtection password="CA9C" sheet="1" objects="1" scenarios="1"/>
  <protectedRanges>
    <protectedRange sqref="A4 I6 L6 L8 A10 L12 H14 H16" name="Диапазон1"/>
  </protectedRanges>
  <mergeCells count="20">
    <mergeCell ref="L6:O6"/>
    <mergeCell ref="A1:R1"/>
    <mergeCell ref="A2:R2"/>
    <mergeCell ref="A3:R3"/>
    <mergeCell ref="A4:R4"/>
    <mergeCell ref="A5:R5"/>
    <mergeCell ref="C6:H6"/>
    <mergeCell ref="I6:J6"/>
    <mergeCell ref="A24:D24"/>
    <mergeCell ref="G24:J24"/>
    <mergeCell ref="K24:N24"/>
    <mergeCell ref="A14:G14"/>
    <mergeCell ref="H14:J14"/>
    <mergeCell ref="A16:G16"/>
    <mergeCell ref="H16:J16"/>
    <mergeCell ref="A8:K8"/>
    <mergeCell ref="L8:R8"/>
    <mergeCell ref="A12:K12"/>
    <mergeCell ref="L12:N12"/>
    <mergeCell ref="A10:R10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98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pageSetUpPr fitToPage="1"/>
  </sheetPr>
  <dimension ref="A1:Q50"/>
  <sheetViews>
    <sheetView workbookViewId="0">
      <selection activeCell="G33" sqref="G33:H33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8.85546875" style="5" customWidth="1"/>
    <col min="4" max="4" width="2.28515625" style="5" customWidth="1"/>
    <col min="5" max="5" width="6.7109375" style="5" customWidth="1"/>
    <col min="6" max="6" width="5.140625" style="5" customWidth="1"/>
    <col min="7" max="7" width="6.140625" style="5" customWidth="1"/>
    <col min="8" max="8" width="13.42578125" style="5" customWidth="1"/>
    <col min="9" max="9" width="4.140625" style="5" customWidth="1"/>
    <col min="10" max="10" width="9.28515625" style="5" bestFit="1" customWidth="1"/>
    <col min="11" max="12" width="5.140625" style="5" customWidth="1"/>
    <col min="13" max="13" width="3.85546875" style="5" customWidth="1"/>
    <col min="14" max="14" width="4" style="5" customWidth="1"/>
    <col min="15" max="15" width="5.140625" style="5" customWidth="1"/>
    <col min="16" max="16" width="5.28515625" style="5" customWidth="1"/>
    <col min="17" max="22" width="5.140625" style="5" customWidth="1"/>
    <col min="23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19.5" customHeight="1" x14ac:dyDescent="0.3">
      <c r="A3" s="109" t="s">
        <v>33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ht="19.5" customHeight="1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17" ht="14.25" customHeight="1" x14ac:dyDescent="0.3">
      <c r="A7" s="10"/>
    </row>
    <row r="8" spans="1:17" ht="18.75" x14ac:dyDescent="0.3">
      <c r="A8" s="105" t="s">
        <v>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12"/>
      <c r="M8" s="113"/>
      <c r="N8" s="113"/>
      <c r="O8" s="113"/>
      <c r="P8" s="113"/>
      <c r="Q8" s="114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</row>
    <row r="11" spans="1:1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37"/>
      <c r="K11" s="37"/>
      <c r="L11" s="13"/>
      <c r="M11" s="13"/>
      <c r="N11" s="13"/>
      <c r="O11" s="13"/>
      <c r="P11" s="13"/>
      <c r="Q11" s="13"/>
    </row>
    <row r="12" spans="1:17" ht="18" customHeight="1" x14ac:dyDescent="0.3">
      <c r="A12" s="10"/>
      <c r="B12" s="10"/>
      <c r="C12" s="10"/>
      <c r="D12" s="10"/>
      <c r="E12" s="10"/>
      <c r="F12" s="10"/>
      <c r="I12" s="15"/>
    </row>
    <row r="13" spans="1:17" ht="18.75" x14ac:dyDescent="0.3">
      <c r="A13" s="105" t="s">
        <v>151</v>
      </c>
      <c r="B13" s="105"/>
      <c r="C13" s="105"/>
      <c r="D13" s="105"/>
      <c r="E13" s="105"/>
      <c r="F13" s="105"/>
      <c r="G13" s="106"/>
      <c r="H13" s="107"/>
      <c r="I13" s="14" t="s">
        <v>13</v>
      </c>
      <c r="J13" s="14"/>
    </row>
    <row r="14" spans="1:17" ht="8.25" customHeight="1" x14ac:dyDescent="0.3">
      <c r="A14" s="38" t="s">
        <v>4</v>
      </c>
      <c r="G14" s="10"/>
      <c r="H14" s="10"/>
    </row>
    <row r="15" spans="1:17" ht="18.75" x14ac:dyDescent="0.3">
      <c r="A15" s="105" t="s">
        <v>35</v>
      </c>
      <c r="B15" s="105"/>
      <c r="C15" s="105"/>
      <c r="D15" s="105"/>
      <c r="E15" s="115"/>
      <c r="F15" s="106"/>
      <c r="G15" s="107"/>
      <c r="H15" s="14" t="s">
        <v>34</v>
      </c>
    </row>
    <row r="16" spans="1:17" s="16" customFormat="1" ht="18.75" x14ac:dyDescent="0.3">
      <c r="A16" s="105" t="s">
        <v>150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s="16" customFormat="1" ht="18.75" x14ac:dyDescent="0.3">
      <c r="A17" s="105" t="s">
        <v>152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s="19" customFormat="1" ht="19.5" x14ac:dyDescent="0.35">
      <c r="A18" s="17" t="s">
        <v>67</v>
      </c>
      <c r="B18" s="17"/>
      <c r="C18" s="18">
        <f>F15</f>
        <v>0</v>
      </c>
      <c r="D18" s="17"/>
      <c r="E18" s="18"/>
      <c r="F18" s="17" t="s">
        <v>15</v>
      </c>
      <c r="G18" s="17">
        <f>G13</f>
        <v>0</v>
      </c>
      <c r="H18" s="17" t="s">
        <v>16</v>
      </c>
      <c r="I18" s="17"/>
      <c r="J18" s="96">
        <f>(2*C18*G18)/1000</f>
        <v>0</v>
      </c>
      <c r="K18" s="17" t="s">
        <v>17</v>
      </c>
      <c r="L18" s="17"/>
      <c r="P18" s="21"/>
      <c r="Q18" s="21"/>
    </row>
    <row r="19" spans="1:17" s="19" customFormat="1" ht="19.5" x14ac:dyDescent="0.35">
      <c r="A19" s="17"/>
      <c r="B19" s="17"/>
      <c r="C19" s="18"/>
      <c r="D19" s="17"/>
      <c r="E19" s="18"/>
      <c r="F19" s="17"/>
      <c r="G19" s="17"/>
      <c r="H19" s="17"/>
      <c r="I19" s="17"/>
      <c r="J19" s="18"/>
      <c r="K19" s="17"/>
      <c r="L19" s="17"/>
      <c r="P19" s="21"/>
      <c r="Q19" s="21"/>
    </row>
    <row r="20" spans="1:17" s="16" customFormat="1" ht="18.75" x14ac:dyDescent="0.3">
      <c r="A20" s="105" t="s">
        <v>153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s="16" customFormat="1" ht="18.75" x14ac:dyDescent="0.3">
      <c r="A21" s="105" t="s">
        <v>154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7" s="19" customFormat="1" ht="19.5" x14ac:dyDescent="0.35">
      <c r="A22" s="17" t="s">
        <v>155</v>
      </c>
      <c r="B22" s="17"/>
      <c r="C22" s="18">
        <f>F15</f>
        <v>0</v>
      </c>
      <c r="D22" s="17">
        <v>0</v>
      </c>
      <c r="E22" s="18"/>
      <c r="F22" s="17" t="s">
        <v>15</v>
      </c>
      <c r="G22" s="17">
        <f>G13</f>
        <v>0</v>
      </c>
      <c r="H22" s="17" t="s">
        <v>16</v>
      </c>
      <c r="I22" s="17"/>
      <c r="J22" s="96">
        <f>(1*C22*G22)/1000</f>
        <v>0</v>
      </c>
      <c r="K22" s="17" t="s">
        <v>17</v>
      </c>
      <c r="L22" s="17"/>
      <c r="P22" s="21"/>
      <c r="Q22" s="21"/>
    </row>
    <row r="23" spans="1:17" s="16" customFormat="1" ht="30.75" customHeight="1" x14ac:dyDescent="0.3">
      <c r="A23" s="25"/>
      <c r="B23" s="25"/>
      <c r="C23" s="3"/>
      <c r="D23" s="3"/>
      <c r="E23" s="3"/>
      <c r="F23" s="25"/>
      <c r="G23" s="25"/>
      <c r="H23" s="24"/>
      <c r="I23" s="25"/>
      <c r="J23" s="25"/>
    </row>
    <row r="24" spans="1:17" s="16" customFormat="1" ht="18.75" x14ac:dyDescent="0.3">
      <c r="A24" s="14" t="s">
        <v>37</v>
      </c>
      <c r="B24" s="14"/>
      <c r="C24" s="14"/>
      <c r="D24" s="14"/>
      <c r="E24" s="14"/>
      <c r="G24" s="106"/>
      <c r="H24" s="107"/>
      <c r="I24" s="14" t="s">
        <v>156</v>
      </c>
      <c r="J24" s="14"/>
      <c r="O24" s="14"/>
    </row>
    <row r="25" spans="1:17" s="16" customFormat="1" ht="18.75" x14ac:dyDescent="0.3">
      <c r="A25" s="105" t="s">
        <v>157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17" s="16" customFormat="1" ht="18.75" x14ac:dyDescent="0.3">
      <c r="A26" s="105" t="s">
        <v>158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</row>
    <row r="27" spans="1:17" s="19" customFormat="1" ht="19.5" x14ac:dyDescent="0.35">
      <c r="A27" s="17" t="s">
        <v>53</v>
      </c>
      <c r="B27" s="17"/>
      <c r="C27" s="18">
        <f>G24</f>
        <v>0</v>
      </c>
      <c r="D27" s="18" t="s">
        <v>15</v>
      </c>
      <c r="E27" s="18">
        <f>G13</f>
        <v>0</v>
      </c>
      <c r="F27" s="17" t="s">
        <v>16</v>
      </c>
      <c r="G27" s="17"/>
      <c r="H27" s="95">
        <f>(40*C27*E27)/1000</f>
        <v>0</v>
      </c>
      <c r="I27" s="17" t="s">
        <v>17</v>
      </c>
      <c r="J27" s="17"/>
      <c r="K27" s="21"/>
      <c r="L27" s="21"/>
      <c r="M27" s="21"/>
      <c r="N27" s="21"/>
      <c r="O27" s="21"/>
      <c r="P27" s="21"/>
      <c r="Q27" s="21"/>
    </row>
    <row r="28" spans="1:17" s="19" customFormat="1" ht="19.5" x14ac:dyDescent="0.35">
      <c r="A28" s="17"/>
      <c r="B28" s="17"/>
      <c r="C28" s="18"/>
      <c r="D28" s="18"/>
      <c r="E28" s="18"/>
      <c r="F28" s="17"/>
      <c r="G28" s="17"/>
      <c r="H28" s="20"/>
      <c r="I28" s="17"/>
      <c r="J28" s="17"/>
      <c r="K28" s="21"/>
      <c r="L28" s="21"/>
      <c r="M28" s="21"/>
      <c r="N28" s="21"/>
      <c r="O28" s="21"/>
      <c r="P28" s="21"/>
      <c r="Q28" s="21"/>
    </row>
    <row r="29" spans="1:17" s="16" customFormat="1" ht="18.75" x14ac:dyDescent="0.3">
      <c r="A29" s="105" t="s">
        <v>159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s="16" customFormat="1" ht="18.75" x14ac:dyDescent="0.3">
      <c r="A30" s="105" t="s">
        <v>160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s="19" customFormat="1" ht="19.5" x14ac:dyDescent="0.35">
      <c r="A31" s="17" t="s">
        <v>161</v>
      </c>
      <c r="B31" s="17"/>
      <c r="C31" s="18">
        <f>G24</f>
        <v>0</v>
      </c>
      <c r="D31" s="18" t="s">
        <v>15</v>
      </c>
      <c r="E31" s="18">
        <f>G13</f>
        <v>0</v>
      </c>
      <c r="F31" s="17" t="s">
        <v>16</v>
      </c>
      <c r="G31" s="17"/>
      <c r="H31" s="95">
        <f>(60*C31*E31)/1000</f>
        <v>0</v>
      </c>
      <c r="I31" s="17" t="s">
        <v>17</v>
      </c>
      <c r="J31" s="17"/>
      <c r="K31" s="21"/>
      <c r="L31" s="21"/>
      <c r="M31" s="21"/>
      <c r="N31" s="21"/>
      <c r="O31" s="21"/>
      <c r="P31" s="21"/>
      <c r="Q31" s="21"/>
    </row>
    <row r="32" spans="1:17" s="19" customFormat="1" ht="19.5" x14ac:dyDescent="0.35">
      <c r="A32" s="17"/>
      <c r="B32" s="17"/>
      <c r="C32" s="18"/>
      <c r="D32" s="18"/>
      <c r="E32" s="18"/>
      <c r="F32" s="17"/>
      <c r="G32" s="17"/>
      <c r="H32" s="20"/>
      <c r="I32" s="17"/>
      <c r="J32" s="17"/>
      <c r="K32" s="21"/>
      <c r="L32" s="21"/>
      <c r="M32" s="21"/>
      <c r="N32" s="21"/>
      <c r="O32" s="21"/>
      <c r="P32" s="21"/>
      <c r="Q32" s="21"/>
    </row>
    <row r="33" spans="1:17" s="16" customFormat="1" ht="21.75" customHeight="1" x14ac:dyDescent="0.3">
      <c r="A33" s="14" t="s">
        <v>162</v>
      </c>
      <c r="B33" s="14"/>
      <c r="C33" s="14"/>
      <c r="D33" s="14"/>
      <c r="E33" s="14"/>
      <c r="G33" s="106"/>
      <c r="H33" s="107"/>
      <c r="I33" s="14" t="s">
        <v>156</v>
      </c>
      <c r="J33" s="14"/>
      <c r="O33" s="14"/>
    </row>
    <row r="34" spans="1:17" s="16" customFormat="1" ht="18.75" x14ac:dyDescent="0.3">
      <c r="A34" s="105" t="s">
        <v>163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1:17" s="16" customFormat="1" ht="18.75" x14ac:dyDescent="0.3">
      <c r="A35" s="105" t="s">
        <v>587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1:17" s="19" customFormat="1" ht="19.5" x14ac:dyDescent="0.35">
      <c r="A36" s="17" t="s">
        <v>651</v>
      </c>
      <c r="B36" s="17"/>
      <c r="C36" s="18">
        <f>G33</f>
        <v>0</v>
      </c>
      <c r="D36" s="18" t="s">
        <v>15</v>
      </c>
      <c r="E36" s="18">
        <f>G13</f>
        <v>0</v>
      </c>
      <c r="F36" s="17" t="s">
        <v>16</v>
      </c>
      <c r="G36" s="17"/>
      <c r="H36" s="95">
        <f>(20*C36*E36)/1000</f>
        <v>0</v>
      </c>
      <c r="I36" s="17" t="s">
        <v>17</v>
      </c>
      <c r="J36" s="17"/>
      <c r="K36" s="21"/>
      <c r="L36" s="21"/>
      <c r="M36" s="21"/>
      <c r="N36" s="21"/>
      <c r="O36" s="21"/>
      <c r="P36" s="21"/>
      <c r="Q36" s="21"/>
    </row>
    <row r="37" spans="1:17" s="19" customFormat="1" ht="19.5" x14ac:dyDescent="0.35">
      <c r="A37" s="17"/>
      <c r="B37" s="17"/>
      <c r="C37" s="18"/>
      <c r="D37" s="18"/>
      <c r="E37" s="18"/>
      <c r="F37" s="17"/>
      <c r="G37" s="17"/>
      <c r="H37" s="20"/>
      <c r="I37" s="17"/>
      <c r="J37" s="17"/>
      <c r="K37" s="21"/>
      <c r="L37" s="21"/>
      <c r="M37" s="21"/>
      <c r="N37" s="21"/>
      <c r="O37" s="21"/>
      <c r="P37" s="21"/>
      <c r="Q37" s="21"/>
    </row>
    <row r="38" spans="1:17" s="16" customFormat="1" ht="18.75" x14ac:dyDescent="0.3">
      <c r="A38" s="105" t="s">
        <v>164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1:17" s="16" customFormat="1" ht="18.75" x14ac:dyDescent="0.3">
      <c r="A39" s="105" t="s">
        <v>588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</row>
    <row r="40" spans="1:17" s="19" customFormat="1" ht="19.5" x14ac:dyDescent="0.35">
      <c r="A40" s="17" t="s">
        <v>652</v>
      </c>
      <c r="B40" s="17"/>
      <c r="C40" s="18">
        <f>G33</f>
        <v>0</v>
      </c>
      <c r="D40" s="18" t="s">
        <v>15</v>
      </c>
      <c r="E40" s="18">
        <f>G13</f>
        <v>0</v>
      </c>
      <c r="F40" s="17" t="s">
        <v>16</v>
      </c>
      <c r="G40" s="17"/>
      <c r="H40" s="95">
        <f>(30*C40*E40)/1000</f>
        <v>0</v>
      </c>
      <c r="I40" s="17" t="s">
        <v>17</v>
      </c>
      <c r="J40" s="17"/>
      <c r="K40" s="21"/>
      <c r="L40" s="21"/>
      <c r="M40" s="21"/>
      <c r="N40" s="21"/>
      <c r="O40" s="21"/>
      <c r="P40" s="21"/>
      <c r="Q40" s="21"/>
    </row>
    <row r="41" spans="1:17" s="16" customFormat="1" ht="9.75" customHeight="1" x14ac:dyDescent="0.3">
      <c r="A41" s="11"/>
    </row>
    <row r="42" spans="1:17" ht="18.75" x14ac:dyDescent="0.3">
      <c r="A42" s="38"/>
    </row>
    <row r="43" spans="1:17" ht="18.75" x14ac:dyDescent="0.3">
      <c r="A43" s="102" t="s">
        <v>26</v>
      </c>
      <c r="B43" s="102"/>
      <c r="C43" s="102"/>
      <c r="D43" s="102"/>
      <c r="E43" s="104">
        <f>J18+J22+H27+H31+H36+H40</f>
        <v>0</v>
      </c>
      <c r="F43" s="104"/>
      <c r="G43" s="104"/>
      <c r="H43" s="104"/>
      <c r="I43" s="103" t="s">
        <v>27</v>
      </c>
      <c r="J43" s="103"/>
      <c r="K43" s="103"/>
      <c r="L43" s="103"/>
    </row>
    <row r="44" spans="1:17" ht="18.75" x14ac:dyDescent="0.3">
      <c r="A44" s="26"/>
    </row>
    <row r="45" spans="1:17" ht="18.75" x14ac:dyDescent="0.3">
      <c r="A45" s="26" t="s">
        <v>8</v>
      </c>
    </row>
    <row r="46" spans="1:17" ht="18.75" x14ac:dyDescent="0.3">
      <c r="A46" s="26" t="s">
        <v>149</v>
      </c>
    </row>
    <row r="47" spans="1:17" ht="12" customHeight="1" x14ac:dyDescent="0.3">
      <c r="A47" s="27"/>
    </row>
    <row r="48" spans="1:17" ht="18.75" x14ac:dyDescent="0.3">
      <c r="A48" s="26" t="s">
        <v>9</v>
      </c>
    </row>
    <row r="49" spans="1:1" ht="18.75" x14ac:dyDescent="0.3">
      <c r="A49" s="26"/>
    </row>
    <row r="50" spans="1:1" ht="18.75" x14ac:dyDescent="0.3">
      <c r="A50" s="26" t="s">
        <v>10</v>
      </c>
    </row>
  </sheetData>
  <sheetProtection password="CA9C" sheet="1" objects="1" scenarios="1"/>
  <protectedRanges>
    <protectedRange sqref="X13 A4 G6 J6 L8 A10 G13 F15 G24 G33" name="Диапазон1"/>
  </protectedRanges>
  <mergeCells count="32">
    <mergeCell ref="A1:Q1"/>
    <mergeCell ref="A2:Q2"/>
    <mergeCell ref="A3:Q3"/>
    <mergeCell ref="A43:D43"/>
    <mergeCell ref="I43:L43"/>
    <mergeCell ref="E43:H43"/>
    <mergeCell ref="A30:Q30"/>
    <mergeCell ref="G24:H24"/>
    <mergeCell ref="A25:Q25"/>
    <mergeCell ref="A29:Q29"/>
    <mergeCell ref="A26:Q26"/>
    <mergeCell ref="A13:F13"/>
    <mergeCell ref="G13:H13"/>
    <mergeCell ref="A17:Q17"/>
    <mergeCell ref="F15:G15"/>
    <mergeCell ref="A16:Q16"/>
    <mergeCell ref="A20:Q20"/>
    <mergeCell ref="A21:Q21"/>
    <mergeCell ref="A8:K8"/>
    <mergeCell ref="A5:Q5"/>
    <mergeCell ref="A4:Q4"/>
    <mergeCell ref="A15:E15"/>
    <mergeCell ref="C6:F6"/>
    <mergeCell ref="G6:H6"/>
    <mergeCell ref="J6:M6"/>
    <mergeCell ref="L8:Q8"/>
    <mergeCell ref="A10:Q10"/>
    <mergeCell ref="A39:Q39"/>
    <mergeCell ref="G33:H33"/>
    <mergeCell ref="A34:Q34"/>
    <mergeCell ref="A35:Q35"/>
    <mergeCell ref="A38:Q38"/>
  </mergeCells>
  <phoneticPr fontId="0" type="noConversion"/>
  <pageMargins left="0.78740157480314965" right="0.39370078740157483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5">
    <pageSetUpPr fitToPage="1"/>
  </sheetPr>
  <dimension ref="A1:Y29"/>
  <sheetViews>
    <sheetView topLeftCell="A4" workbookViewId="0">
      <selection activeCell="F12" sqref="F12:H12"/>
    </sheetView>
  </sheetViews>
  <sheetFormatPr defaultRowHeight="12.75" x14ac:dyDescent="0.2"/>
  <cols>
    <col min="1" max="1" width="10" style="5" customWidth="1"/>
    <col min="2" max="2" width="8.28515625" style="5" customWidth="1"/>
    <col min="3" max="3" width="6.5703125" style="5" customWidth="1"/>
    <col min="4" max="4" width="5.85546875" style="5" customWidth="1"/>
    <col min="5" max="5" width="8.28515625" style="5" customWidth="1"/>
    <col min="6" max="7" width="4.28515625" style="5" customWidth="1"/>
    <col min="8" max="8" width="7.140625" style="5" customWidth="1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7.5703125" style="5" customWidth="1"/>
    <col min="19" max="19" width="4.85546875" style="5" customWidth="1"/>
    <col min="20" max="24" width="7.570312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  <c r="R1" s="16"/>
      <c r="S1" s="16"/>
      <c r="T1" s="16"/>
      <c r="U1" s="16"/>
      <c r="V1" s="16"/>
      <c r="W1" s="16"/>
      <c r="X1" s="16"/>
      <c r="Y1" s="16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6"/>
      <c r="S2" s="16"/>
      <c r="T2" s="16"/>
      <c r="U2" s="16"/>
      <c r="V2" s="16"/>
      <c r="W2" s="16"/>
      <c r="X2" s="16"/>
      <c r="Y2" s="16"/>
    </row>
    <row r="3" spans="1:25" ht="18.75" customHeight="1" x14ac:dyDescent="0.3">
      <c r="A3" s="124" t="s">
        <v>85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6"/>
      <c r="S6" s="16"/>
      <c r="T6" s="16"/>
      <c r="U6" s="16"/>
      <c r="V6" s="16"/>
      <c r="W6" s="16"/>
      <c r="X6" s="16"/>
      <c r="Y6" s="16"/>
    </row>
    <row r="7" spans="1:25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6"/>
      <c r="S9" s="16"/>
      <c r="T9" s="16"/>
      <c r="U9" s="16"/>
      <c r="V9" s="16"/>
      <c r="W9" s="16"/>
      <c r="X9" s="16"/>
      <c r="Y9" s="16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</row>
    <row r="12" spans="1:25" ht="18.75" x14ac:dyDescent="0.3">
      <c r="A12" s="105" t="s">
        <v>86</v>
      </c>
      <c r="B12" s="105"/>
      <c r="C12" s="105"/>
      <c r="D12" s="105"/>
      <c r="E12" s="105"/>
      <c r="F12" s="106"/>
      <c r="G12" s="108"/>
      <c r="H12" s="107"/>
      <c r="I12" s="30"/>
      <c r="R12" s="16"/>
      <c r="S12" s="16"/>
      <c r="T12" s="16"/>
      <c r="U12" s="16"/>
      <c r="V12" s="16"/>
      <c r="W12" s="16"/>
      <c r="X12" s="16"/>
      <c r="Y12" s="16"/>
    </row>
    <row r="13" spans="1:25" ht="22.5" customHeight="1" x14ac:dyDescent="0.3">
      <c r="A13" s="105" t="s">
        <v>600</v>
      </c>
      <c r="B13" s="105"/>
      <c r="C13" s="105"/>
      <c r="D13" s="105"/>
      <c r="E13" s="72"/>
      <c r="J13" s="9"/>
    </row>
    <row r="14" spans="1:25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</row>
    <row r="15" spans="1:25" s="16" customFormat="1" ht="18.75" x14ac:dyDescent="0.3">
      <c r="A15" s="14" t="s">
        <v>323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25" s="16" customFormat="1" ht="18.75" x14ac:dyDescent="0.3">
      <c r="A16" s="14" t="s">
        <v>535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603</v>
      </c>
      <c r="B17" s="18">
        <f>F12</f>
        <v>0</v>
      </c>
      <c r="C17" s="18" t="s">
        <v>15</v>
      </c>
      <c r="D17" s="18">
        <f>E13</f>
        <v>0</v>
      </c>
      <c r="E17" s="18" t="s">
        <v>15</v>
      </c>
      <c r="F17" s="17">
        <f>F14</f>
        <v>0</v>
      </c>
      <c r="G17" s="142" t="s">
        <v>16</v>
      </c>
      <c r="H17" s="142"/>
      <c r="I17" s="95">
        <f>(23*B17*D17*F17)/1000</f>
        <v>0</v>
      </c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324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536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604</v>
      </c>
      <c r="B20" s="18">
        <f>F12</f>
        <v>0</v>
      </c>
      <c r="C20" s="18" t="s">
        <v>15</v>
      </c>
      <c r="D20" s="18">
        <f>E13</f>
        <v>0</v>
      </c>
      <c r="E20" s="18" t="s">
        <v>15</v>
      </c>
      <c r="F20" s="17">
        <f>F14</f>
        <v>0</v>
      </c>
      <c r="G20" s="17" t="s">
        <v>16</v>
      </c>
      <c r="I20" s="95">
        <f>(33*B20*D20*F20)/1000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2"/>
    </row>
    <row r="23" spans="1:17" ht="18.75" x14ac:dyDescent="0.3">
      <c r="A23" s="102" t="s">
        <v>60</v>
      </c>
      <c r="B23" s="102"/>
      <c r="C23" s="102"/>
      <c r="D23" s="102"/>
      <c r="E23" s="104">
        <f>I17+I20</f>
        <v>0</v>
      </c>
      <c r="F23" s="104"/>
      <c r="G23" s="104"/>
      <c r="H23" s="104"/>
      <c r="I23" s="103" t="s">
        <v>27</v>
      </c>
      <c r="J23" s="103"/>
      <c r="K23" s="103"/>
      <c r="L23" s="103"/>
    </row>
    <row r="24" spans="1:17" ht="18.75" x14ac:dyDescent="0.3">
      <c r="A24" s="26" t="s">
        <v>8</v>
      </c>
    </row>
    <row r="25" spans="1:17" ht="18.75" x14ac:dyDescent="0.3">
      <c r="A25" s="26" t="s">
        <v>149</v>
      </c>
      <c r="Q25" s="5"/>
    </row>
    <row r="26" spans="1:17" ht="12" customHeight="1" x14ac:dyDescent="0.3">
      <c r="A26" s="27"/>
    </row>
    <row r="27" spans="1:17" ht="18.75" x14ac:dyDescent="0.3">
      <c r="A27" s="26" t="s">
        <v>9</v>
      </c>
    </row>
    <row r="28" spans="1:17" ht="18.75" x14ac:dyDescent="0.3">
      <c r="A28" s="26"/>
    </row>
    <row r="29" spans="1:17" ht="18.75" x14ac:dyDescent="0.3">
      <c r="A29" s="26" t="s">
        <v>10</v>
      </c>
    </row>
  </sheetData>
  <sheetProtection password="CA9C" sheet="1" objects="1" scenarios="1"/>
  <protectedRanges>
    <protectedRange sqref="A4 G6 J6 J8 A10 F12 E13 F14" name="Диапазон1"/>
  </protectedRanges>
  <mergeCells count="20">
    <mergeCell ref="A13:D13"/>
    <mergeCell ref="G17:H17"/>
    <mergeCell ref="A23:D23"/>
    <mergeCell ref="E23:H23"/>
    <mergeCell ref="I23:L23"/>
    <mergeCell ref="A14:E14"/>
    <mergeCell ref="F14:H14"/>
    <mergeCell ref="A1:P1"/>
    <mergeCell ref="A2:P2"/>
    <mergeCell ref="A3:P3"/>
    <mergeCell ref="A4:P4"/>
    <mergeCell ref="A5:P5"/>
    <mergeCell ref="C6:F6"/>
    <mergeCell ref="G6:H6"/>
    <mergeCell ref="J6:M6"/>
    <mergeCell ref="F12:H12"/>
    <mergeCell ref="A12:E12"/>
    <mergeCell ref="A8:I8"/>
    <mergeCell ref="J8:P8"/>
    <mergeCell ref="A10:P10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6">
    <pageSetUpPr fitToPage="1"/>
  </sheetPr>
  <dimension ref="A1:Y29"/>
  <sheetViews>
    <sheetView workbookViewId="0">
      <selection activeCell="F12" sqref="F12:H12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7.140625" style="5" customWidth="1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7.5703125" style="5" customWidth="1"/>
    <col min="19" max="19" width="5" style="5" customWidth="1"/>
    <col min="20" max="24" width="7.570312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6"/>
      <c r="S2" s="16"/>
      <c r="T2" s="16"/>
      <c r="U2" s="16"/>
      <c r="V2" s="16"/>
      <c r="W2" s="16"/>
      <c r="X2" s="16"/>
      <c r="Y2" s="16"/>
    </row>
    <row r="3" spans="1:25" ht="18.75" customHeight="1" x14ac:dyDescent="0.3">
      <c r="A3" s="124" t="s">
        <v>328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6"/>
      <c r="S6" s="16"/>
      <c r="T6" s="16"/>
      <c r="U6" s="16"/>
      <c r="V6" s="16"/>
      <c r="W6" s="16"/>
      <c r="X6" s="16"/>
      <c r="Y6" s="16"/>
    </row>
    <row r="7" spans="1:25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6"/>
      <c r="S9" s="16"/>
      <c r="T9" s="16"/>
      <c r="U9" s="16"/>
      <c r="V9" s="16"/>
      <c r="W9" s="16"/>
      <c r="X9" s="16"/>
      <c r="Y9" s="16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</row>
    <row r="12" spans="1:25" ht="18.75" x14ac:dyDescent="0.3">
      <c r="A12" s="105" t="s">
        <v>63</v>
      </c>
      <c r="B12" s="105"/>
      <c r="C12" s="105"/>
      <c r="D12" s="105"/>
      <c r="E12" s="105"/>
      <c r="F12" s="106"/>
      <c r="G12" s="108"/>
      <c r="H12" s="107"/>
      <c r="I12" s="30"/>
      <c r="R12" s="16"/>
      <c r="S12" s="16"/>
      <c r="T12" s="16"/>
      <c r="U12" s="16"/>
      <c r="V12" s="16"/>
      <c r="W12" s="16"/>
      <c r="X12" s="16"/>
      <c r="Y12" s="16"/>
    </row>
    <row r="13" spans="1:25" ht="6" customHeight="1" x14ac:dyDescent="0.3">
      <c r="A13" s="11"/>
      <c r="B13" s="11"/>
      <c r="C13" s="11"/>
      <c r="D13" s="11"/>
      <c r="J13" s="9"/>
      <c r="R13" s="16"/>
      <c r="S13" s="16"/>
      <c r="T13" s="16"/>
      <c r="U13" s="16"/>
      <c r="V13" s="16"/>
      <c r="W13" s="16"/>
      <c r="X13" s="16"/>
      <c r="Y13" s="16"/>
    </row>
    <row r="14" spans="1:25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  <c r="R14" s="16"/>
      <c r="S14" s="16"/>
      <c r="T14" s="16"/>
      <c r="U14" s="16"/>
      <c r="V14" s="16"/>
      <c r="W14" s="16"/>
      <c r="X14" s="16"/>
      <c r="Y14" s="16"/>
    </row>
    <row r="15" spans="1:25" s="16" customFormat="1" ht="18.75" x14ac:dyDescent="0.3">
      <c r="A15" s="14" t="s">
        <v>325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25" s="16" customFormat="1" ht="18.75" x14ac:dyDescent="0.3">
      <c r="A16" s="14" t="s">
        <v>326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84</v>
      </c>
      <c r="B17" s="17"/>
      <c r="C17" s="18">
        <f>F12</f>
        <v>0</v>
      </c>
      <c r="D17" s="18" t="s">
        <v>15</v>
      </c>
      <c r="E17" s="18">
        <f>F14</f>
        <v>0</v>
      </c>
      <c r="F17" s="17" t="s">
        <v>16</v>
      </c>
      <c r="G17" s="17"/>
      <c r="I17" s="95">
        <f>(7*C17*E17)/1000</f>
        <v>0</v>
      </c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220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327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198</v>
      </c>
      <c r="B20" s="17"/>
      <c r="C20" s="18">
        <f>F12</f>
        <v>0</v>
      </c>
      <c r="D20" s="18" t="s">
        <v>15</v>
      </c>
      <c r="E20" s="18">
        <f>F14</f>
        <v>0</v>
      </c>
      <c r="F20" s="17" t="s">
        <v>16</v>
      </c>
      <c r="G20" s="17"/>
      <c r="I20" s="95">
        <f>(5*C20*E20)/1000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2"/>
    </row>
    <row r="22" spans="1:17" ht="18.75" x14ac:dyDescent="0.3">
      <c r="A22" s="26"/>
    </row>
    <row r="23" spans="1:17" ht="18.75" x14ac:dyDescent="0.3">
      <c r="A23" s="102" t="s">
        <v>60</v>
      </c>
      <c r="B23" s="102"/>
      <c r="C23" s="102"/>
      <c r="D23" s="102"/>
      <c r="E23" s="104">
        <f>I17+I20</f>
        <v>0</v>
      </c>
      <c r="F23" s="104"/>
      <c r="G23" s="104"/>
      <c r="H23" s="104"/>
      <c r="I23" s="103" t="s">
        <v>27</v>
      </c>
      <c r="J23" s="103"/>
      <c r="K23" s="103"/>
      <c r="L23" s="103"/>
    </row>
    <row r="24" spans="1:17" ht="18.75" x14ac:dyDescent="0.3">
      <c r="A24" s="26" t="s">
        <v>8</v>
      </c>
    </row>
    <row r="25" spans="1:17" ht="18.75" x14ac:dyDescent="0.3">
      <c r="A25" s="26" t="s">
        <v>149</v>
      </c>
      <c r="Q25" s="5"/>
    </row>
    <row r="26" spans="1:17" ht="12" customHeight="1" x14ac:dyDescent="0.3">
      <c r="A26" s="27"/>
    </row>
    <row r="27" spans="1:17" ht="18.75" x14ac:dyDescent="0.3">
      <c r="A27" s="26" t="s">
        <v>9</v>
      </c>
    </row>
    <row r="28" spans="1:17" ht="18.75" x14ac:dyDescent="0.3">
      <c r="A28" s="26"/>
    </row>
    <row r="29" spans="1:17" ht="18.75" x14ac:dyDescent="0.3">
      <c r="A29" s="26" t="s">
        <v>10</v>
      </c>
    </row>
  </sheetData>
  <sheetProtection password="CA9C" sheet="1" objects="1" scenarios="1"/>
  <protectedRanges>
    <protectedRange sqref="A4 G6 J6 J8 A10 F12 F14" name="Диапазон1"/>
  </protectedRanges>
  <mergeCells count="18">
    <mergeCell ref="F12:H12"/>
    <mergeCell ref="A10:P10"/>
    <mergeCell ref="A12:E12"/>
    <mergeCell ref="A23:D23"/>
    <mergeCell ref="E23:H23"/>
    <mergeCell ref="I23:L23"/>
    <mergeCell ref="A14:E14"/>
    <mergeCell ref="F14:H14"/>
    <mergeCell ref="A8:I8"/>
    <mergeCell ref="J8:P8"/>
    <mergeCell ref="J6:M6"/>
    <mergeCell ref="C6:F6"/>
    <mergeCell ref="G6:H6"/>
    <mergeCell ref="A1:P1"/>
    <mergeCell ref="A2:P2"/>
    <mergeCell ref="A3:P3"/>
    <mergeCell ref="A4:P4"/>
    <mergeCell ref="A5:P5"/>
  </mergeCells>
  <phoneticPr fontId="0" type="noConversion"/>
  <pageMargins left="0.59055118110236227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8">
    <pageSetUpPr fitToPage="1"/>
  </sheetPr>
  <dimension ref="A1:Y45"/>
  <sheetViews>
    <sheetView topLeftCell="A7" zoomScaleNormal="100" workbookViewId="0">
      <selection activeCell="E14" sqref="E14:G14"/>
    </sheetView>
  </sheetViews>
  <sheetFormatPr defaultRowHeight="12.75" x14ac:dyDescent="0.2"/>
  <cols>
    <col min="1" max="1" width="6" style="5" customWidth="1"/>
    <col min="2" max="2" width="6.42578125" style="5" customWidth="1"/>
    <col min="3" max="3" width="8.140625" style="5" customWidth="1"/>
    <col min="4" max="4" width="4.28515625" style="5" customWidth="1"/>
    <col min="5" max="5" width="6.42578125" style="5" customWidth="1"/>
    <col min="6" max="6" width="2.5703125" style="5" customWidth="1"/>
    <col min="7" max="7" width="3.7109375" style="5" customWidth="1"/>
    <col min="8" max="8" width="3.28515625" style="5" customWidth="1"/>
    <col min="9" max="9" width="4.28515625" style="5" customWidth="1"/>
    <col min="10" max="10" width="3.85546875" style="5" customWidth="1"/>
    <col min="11" max="11" width="1.85546875" style="5" hidden="1" customWidth="1"/>
    <col min="12" max="12" width="5.85546875" style="5" customWidth="1"/>
    <col min="13" max="13" width="3.85546875" style="5" customWidth="1"/>
    <col min="14" max="14" width="11.7109375" style="5" customWidth="1"/>
    <col min="15" max="15" width="4.85546875" style="5" customWidth="1"/>
    <col min="16" max="16" width="8.140625" style="5" customWidth="1"/>
    <col min="17" max="17" width="7.7109375" style="9" customWidth="1"/>
    <col min="18" max="18" width="5.7109375" style="5" customWidth="1"/>
    <col min="19" max="19" width="5.85546875" style="5" customWidth="1"/>
    <col min="20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</row>
    <row r="3" spans="1:25" ht="18.75" customHeight="1" x14ac:dyDescent="0.3">
      <c r="A3" s="124" t="s">
        <v>87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25" ht="18.75" x14ac:dyDescent="0.3">
      <c r="A6" s="8"/>
      <c r="B6" s="8"/>
      <c r="C6" s="110" t="s">
        <v>28</v>
      </c>
      <c r="D6" s="110"/>
      <c r="E6" s="110"/>
      <c r="F6" s="148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</row>
    <row r="7" spans="1:25" ht="14.25" customHeight="1" x14ac:dyDescent="0.3">
      <c r="A7" s="10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15"/>
      <c r="J8" s="106"/>
      <c r="K8" s="108"/>
      <c r="L8" s="108"/>
      <c r="M8" s="108"/>
      <c r="N8" s="108"/>
      <c r="O8" s="108"/>
      <c r="P8" s="107"/>
    </row>
    <row r="9" spans="1:25" ht="8.25" customHeight="1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12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5" s="52" customFormat="1" ht="18.75" x14ac:dyDescent="0.3">
      <c r="A12" s="50" t="s">
        <v>329</v>
      </c>
      <c r="Q12" s="53"/>
      <c r="R12" s="5"/>
      <c r="S12" s="5"/>
      <c r="T12" s="5"/>
      <c r="U12" s="5"/>
      <c r="V12" s="5"/>
      <c r="W12" s="5"/>
      <c r="X12" s="5"/>
      <c r="Y12" s="5"/>
    </row>
    <row r="13" spans="1:25" ht="11.2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25" ht="18.75" x14ac:dyDescent="0.3">
      <c r="A14" s="105" t="s">
        <v>88</v>
      </c>
      <c r="B14" s="105"/>
      <c r="C14" s="105"/>
      <c r="D14" s="115"/>
      <c r="E14" s="106"/>
      <c r="F14" s="108"/>
      <c r="G14" s="107"/>
      <c r="H14" s="30" t="s">
        <v>89</v>
      </c>
    </row>
    <row r="15" spans="1:25" ht="6" customHeight="1" x14ac:dyDescent="0.3">
      <c r="A15" s="74"/>
      <c r="B15" s="74"/>
      <c r="C15" s="74"/>
      <c r="D15" s="74"/>
      <c r="I15" s="9"/>
    </row>
    <row r="16" spans="1:25" ht="18.75" x14ac:dyDescent="0.3">
      <c r="A16" s="105" t="s">
        <v>90</v>
      </c>
      <c r="B16" s="105"/>
      <c r="C16" s="105"/>
      <c r="D16" s="115"/>
      <c r="E16" s="106"/>
      <c r="F16" s="108"/>
      <c r="G16" s="107"/>
      <c r="H16" s="32" t="s">
        <v>91</v>
      </c>
      <c r="I16" s="9"/>
    </row>
    <row r="17" spans="1:17" ht="18.75" customHeight="1" x14ac:dyDescent="0.3">
      <c r="A17" s="105" t="s">
        <v>330</v>
      </c>
      <c r="B17" s="105"/>
      <c r="C17" s="105"/>
      <c r="D17" s="115"/>
      <c r="E17" s="106"/>
      <c r="F17" s="108"/>
      <c r="G17" s="107"/>
      <c r="H17" s="30"/>
    </row>
    <row r="18" spans="1:17" ht="21" customHeight="1" x14ac:dyDescent="0.3">
      <c r="A18" s="105" t="s">
        <v>605</v>
      </c>
      <c r="B18" s="105"/>
      <c r="C18" s="105"/>
      <c r="E18" s="106"/>
      <c r="F18" s="108"/>
      <c r="G18" s="107"/>
    </row>
    <row r="19" spans="1:17" s="16" customFormat="1" ht="18.75" x14ac:dyDescent="0.3">
      <c r="A19" s="14" t="s">
        <v>331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6" customFormat="1" ht="39" customHeight="1" x14ac:dyDescent="0.3">
      <c r="A20" s="146" t="s">
        <v>606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5"/>
    </row>
    <row r="21" spans="1:17" s="19" customFormat="1" ht="19.5" x14ac:dyDescent="0.35">
      <c r="A21" s="17" t="s">
        <v>332</v>
      </c>
      <c r="B21" s="17"/>
      <c r="C21" s="18">
        <f>E16</f>
        <v>0</v>
      </c>
      <c r="D21" s="18" t="s">
        <v>15</v>
      </c>
      <c r="E21" s="18">
        <f>E14</f>
        <v>0</v>
      </c>
      <c r="F21" s="17" t="s">
        <v>15</v>
      </c>
      <c r="G21" s="142">
        <f>E17</f>
        <v>0</v>
      </c>
      <c r="H21" s="142"/>
      <c r="I21" s="74" t="s">
        <v>607</v>
      </c>
      <c r="J21" s="17">
        <f>E18</f>
        <v>0</v>
      </c>
      <c r="K21" s="18"/>
      <c r="L21" s="17" t="s">
        <v>608</v>
      </c>
      <c r="M21" s="21"/>
      <c r="N21" s="96">
        <f>IF(J21=0,0,(160*C21*E21*G21)/(J21*1000))</f>
        <v>0</v>
      </c>
      <c r="O21" s="17" t="s">
        <v>92</v>
      </c>
      <c r="Q21" s="22"/>
    </row>
    <row r="22" spans="1:17" s="16" customFormat="1" ht="18.75" x14ac:dyDescent="0.3">
      <c r="A22" s="14" t="s">
        <v>333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/>
    </row>
    <row r="23" spans="1:17" s="16" customFormat="1" ht="39" customHeight="1" x14ac:dyDescent="0.3">
      <c r="A23" s="146" t="s">
        <v>624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5"/>
    </row>
    <row r="24" spans="1:17" s="19" customFormat="1" ht="19.5" x14ac:dyDescent="0.35">
      <c r="A24" s="17" t="s">
        <v>334</v>
      </c>
      <c r="B24" s="17"/>
      <c r="C24" s="18">
        <f>E16</f>
        <v>0</v>
      </c>
      <c r="D24" s="18" t="s">
        <v>15</v>
      </c>
      <c r="E24" s="18">
        <f>E14</f>
        <v>0</v>
      </c>
      <c r="F24" s="17" t="s">
        <v>15</v>
      </c>
      <c r="G24" s="142">
        <f>E17</f>
        <v>0</v>
      </c>
      <c r="H24" s="142"/>
      <c r="I24" s="17" t="s">
        <v>607</v>
      </c>
      <c r="J24" s="142">
        <f>E18</f>
        <v>0</v>
      </c>
      <c r="K24" s="142"/>
      <c r="L24" s="17" t="s">
        <v>608</v>
      </c>
      <c r="M24" s="21"/>
      <c r="N24" s="96">
        <f>IF(J24=0,0,(40*C24*E24*G24)/(J24*1000))</f>
        <v>0</v>
      </c>
      <c r="O24" s="17" t="s">
        <v>66</v>
      </c>
      <c r="Q24" s="22"/>
    </row>
    <row r="25" spans="1:17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2"/>
    </row>
    <row r="26" spans="1:17" s="52" customFormat="1" ht="18.75" x14ac:dyDescent="0.3">
      <c r="A26" s="50" t="s">
        <v>336</v>
      </c>
      <c r="Q26" s="53"/>
    </row>
    <row r="27" spans="1:17" s="51" customFormat="1" ht="18.75" x14ac:dyDescent="0.3">
      <c r="A27" s="50" t="s">
        <v>335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8.75" x14ac:dyDescent="0.3">
      <c r="A28" s="105" t="s">
        <v>88</v>
      </c>
      <c r="B28" s="105"/>
      <c r="C28" s="105"/>
      <c r="D28" s="115"/>
      <c r="E28" s="106"/>
      <c r="F28" s="108"/>
      <c r="G28" s="107"/>
      <c r="H28" s="30" t="s">
        <v>89</v>
      </c>
    </row>
    <row r="29" spans="1:17" ht="6" customHeight="1" x14ac:dyDescent="0.3">
      <c r="A29" s="74"/>
      <c r="B29" s="74"/>
      <c r="C29" s="74"/>
      <c r="D29" s="74"/>
      <c r="I29" s="9"/>
    </row>
    <row r="30" spans="1:17" ht="18.75" x14ac:dyDescent="0.3">
      <c r="A30" s="105" t="s">
        <v>90</v>
      </c>
      <c r="B30" s="105"/>
      <c r="C30" s="105"/>
      <c r="D30" s="115"/>
      <c r="E30" s="106"/>
      <c r="F30" s="108"/>
      <c r="G30" s="107"/>
      <c r="H30" s="32" t="s">
        <v>91</v>
      </c>
      <c r="I30" s="9"/>
    </row>
    <row r="31" spans="1:17" ht="18.75" x14ac:dyDescent="0.3">
      <c r="A31" s="105" t="s">
        <v>330</v>
      </c>
      <c r="B31" s="105"/>
      <c r="C31" s="105"/>
      <c r="D31" s="115"/>
      <c r="E31" s="106"/>
      <c r="F31" s="108"/>
      <c r="G31" s="107"/>
      <c r="H31" s="30"/>
    </row>
    <row r="32" spans="1:17" ht="19.5" customHeight="1" x14ac:dyDescent="0.3">
      <c r="A32" s="105" t="s">
        <v>605</v>
      </c>
      <c r="B32" s="105"/>
      <c r="C32" s="105"/>
      <c r="E32" s="144"/>
      <c r="F32" s="147"/>
      <c r="G32" s="145"/>
    </row>
    <row r="33" spans="1:17" s="16" customFormat="1" ht="18.75" x14ac:dyDescent="0.3">
      <c r="A33" s="14" t="s">
        <v>337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</row>
    <row r="34" spans="1:17" s="16" customFormat="1" ht="39" customHeight="1" x14ac:dyDescent="0.3">
      <c r="A34" s="146" t="s">
        <v>625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5"/>
    </row>
    <row r="35" spans="1:17" s="19" customFormat="1" ht="19.5" x14ac:dyDescent="0.35">
      <c r="A35" s="17" t="s">
        <v>609</v>
      </c>
      <c r="B35" s="17"/>
      <c r="C35" s="18">
        <f>E30</f>
        <v>0</v>
      </c>
      <c r="D35" s="18" t="s">
        <v>15</v>
      </c>
      <c r="E35" s="18">
        <f>E28</f>
        <v>0</v>
      </c>
      <c r="F35" s="17" t="s">
        <v>15</v>
      </c>
      <c r="G35" s="142">
        <f>E31</f>
        <v>0</v>
      </c>
      <c r="H35" s="142"/>
      <c r="I35" s="74" t="s">
        <v>610</v>
      </c>
      <c r="J35" s="18">
        <f>E32</f>
        <v>0</v>
      </c>
      <c r="K35" s="18"/>
      <c r="L35" s="17" t="s">
        <v>611</v>
      </c>
      <c r="M35" s="21"/>
      <c r="N35" s="96">
        <f>IF(J35=0,0,(25*C35*E35*G35)/(J35*1000))</f>
        <v>0</v>
      </c>
      <c r="O35" s="17" t="s">
        <v>92</v>
      </c>
      <c r="Q35" s="22"/>
    </row>
    <row r="36" spans="1:17" s="16" customFormat="1" ht="18.75" x14ac:dyDescent="0.3">
      <c r="A36" s="14" t="s">
        <v>338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</row>
    <row r="37" spans="1:17" s="16" customFormat="1" ht="39" customHeight="1" x14ac:dyDescent="0.3">
      <c r="A37" s="146" t="s">
        <v>623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5"/>
    </row>
    <row r="38" spans="1:17" s="19" customFormat="1" ht="19.5" x14ac:dyDescent="0.35">
      <c r="A38" s="17" t="s">
        <v>339</v>
      </c>
      <c r="B38" s="17"/>
      <c r="C38" s="18">
        <f>E30</f>
        <v>0</v>
      </c>
      <c r="D38" s="18" t="s">
        <v>15</v>
      </c>
      <c r="E38" s="18">
        <f>E28</f>
        <v>0</v>
      </c>
      <c r="F38" s="17" t="s">
        <v>15</v>
      </c>
      <c r="G38" s="142">
        <f>E31</f>
        <v>0</v>
      </c>
      <c r="H38" s="142"/>
      <c r="I38" s="17" t="s">
        <v>607</v>
      </c>
      <c r="J38" s="18">
        <f>E32</f>
        <v>0</v>
      </c>
      <c r="K38" s="18"/>
      <c r="L38" s="17" t="s">
        <v>611</v>
      </c>
      <c r="M38" s="21"/>
      <c r="N38" s="96">
        <f>IF(J38=0,0,(30*C38*E38*G38)/(J38*1000))</f>
        <v>0</v>
      </c>
      <c r="O38" s="17" t="s">
        <v>66</v>
      </c>
      <c r="Q38" s="22"/>
    </row>
    <row r="39" spans="1:17" ht="30" customHeight="1" x14ac:dyDescent="0.3">
      <c r="A39" s="102" t="s">
        <v>60</v>
      </c>
      <c r="B39" s="102"/>
      <c r="C39" s="102"/>
      <c r="D39" s="102"/>
      <c r="E39" s="104">
        <f>N21+N24+N35+N38</f>
        <v>0</v>
      </c>
      <c r="F39" s="104"/>
      <c r="G39" s="104"/>
      <c r="H39" s="104"/>
      <c r="I39" s="103" t="s">
        <v>27</v>
      </c>
      <c r="J39" s="103"/>
      <c r="K39" s="103"/>
      <c r="L39" s="103"/>
    </row>
    <row r="40" spans="1:17" ht="18.75" x14ac:dyDescent="0.3">
      <c r="A40" s="26" t="s">
        <v>8</v>
      </c>
    </row>
    <row r="41" spans="1:17" ht="18.75" x14ac:dyDescent="0.3">
      <c r="A41" s="26" t="s">
        <v>149</v>
      </c>
      <c r="Q41" s="5"/>
    </row>
    <row r="42" spans="1:17" ht="12" customHeight="1" x14ac:dyDescent="0.3">
      <c r="A42" s="27"/>
    </row>
    <row r="43" spans="1:17" ht="18.75" x14ac:dyDescent="0.3">
      <c r="A43" s="26" t="s">
        <v>9</v>
      </c>
    </row>
    <row r="44" spans="1:17" ht="18.75" x14ac:dyDescent="0.3">
      <c r="A44" s="26"/>
    </row>
    <row r="45" spans="1:17" ht="18.75" x14ac:dyDescent="0.3">
      <c r="A45" s="26" t="s">
        <v>10</v>
      </c>
    </row>
  </sheetData>
  <sheetProtection password="CA9C" sheet="1" objects="1" scenarios="1"/>
  <protectedRanges>
    <protectedRange sqref="A4 G6 J6 J8 A10 E14 E16 E17 E18 E28 E30 E31 E32" name="Диапазон1"/>
  </protectedRanges>
  <mergeCells count="39">
    <mergeCell ref="A1:P1"/>
    <mergeCell ref="A2:P2"/>
    <mergeCell ref="A3:P3"/>
    <mergeCell ref="A4:P4"/>
    <mergeCell ref="A10:P10"/>
    <mergeCell ref="A5:P5"/>
    <mergeCell ref="C6:F6"/>
    <mergeCell ref="G6:H6"/>
    <mergeCell ref="A8:I8"/>
    <mergeCell ref="J8:P8"/>
    <mergeCell ref="J6:M6"/>
    <mergeCell ref="J24:K24"/>
    <mergeCell ref="A23:P23"/>
    <mergeCell ref="G24:H24"/>
    <mergeCell ref="A17:D17"/>
    <mergeCell ref="A20:P20"/>
    <mergeCell ref="A18:C18"/>
    <mergeCell ref="E18:G18"/>
    <mergeCell ref="G21:H21"/>
    <mergeCell ref="A14:D14"/>
    <mergeCell ref="E14:G14"/>
    <mergeCell ref="E16:G16"/>
    <mergeCell ref="A16:D16"/>
    <mergeCell ref="E17:G17"/>
    <mergeCell ref="A28:D28"/>
    <mergeCell ref="A31:D31"/>
    <mergeCell ref="E31:G31"/>
    <mergeCell ref="A34:P34"/>
    <mergeCell ref="I39:L39"/>
    <mergeCell ref="E39:H39"/>
    <mergeCell ref="A39:D39"/>
    <mergeCell ref="G35:H35"/>
    <mergeCell ref="E28:G28"/>
    <mergeCell ref="A37:P37"/>
    <mergeCell ref="G38:H38"/>
    <mergeCell ref="A32:C32"/>
    <mergeCell ref="E32:G32"/>
    <mergeCell ref="A30:D30"/>
    <mergeCell ref="E30:G30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19">
    <pageSetUpPr fitToPage="1"/>
  </sheetPr>
  <dimension ref="A1:Q72"/>
  <sheetViews>
    <sheetView topLeftCell="A49" workbookViewId="0">
      <selection activeCell="E14" sqref="E14"/>
    </sheetView>
  </sheetViews>
  <sheetFormatPr defaultRowHeight="12.75" x14ac:dyDescent="0.2"/>
  <cols>
    <col min="1" max="1" width="5.140625" style="5" customWidth="1"/>
    <col min="2" max="2" width="6.570312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4.28515625" style="5" customWidth="1"/>
    <col min="8" max="8" width="7.140625" style="5" customWidth="1"/>
    <col min="9" max="9" width="12.28515625" style="5" customWidth="1"/>
    <col min="10" max="10" width="3.5703125" style="5" customWidth="1"/>
    <col min="11" max="11" width="18.28515625" style="5" customWidth="1"/>
    <col min="12" max="12" width="4.5703125" style="5" customWidth="1"/>
    <col min="13" max="13" width="12.140625" style="5" customWidth="1"/>
    <col min="14" max="14" width="6.28515625" style="5" customWidth="1"/>
    <col min="15" max="15" width="4.85546875" style="5" customWidth="1"/>
    <col min="16" max="16" width="7.85546875" style="5" customWidth="1"/>
    <col min="17" max="17" width="7.7109375" style="5" customWidth="1"/>
    <col min="18" max="18" width="6.42578125" style="5" customWidth="1"/>
    <col min="19" max="19" width="4" style="5" customWidth="1"/>
    <col min="20" max="24" width="7.85546875" style="5" customWidth="1"/>
    <col min="25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35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35"/>
    </row>
    <row r="3" spans="1:17" ht="18.75" customHeight="1" x14ac:dyDescent="0.3">
      <c r="A3" s="124" t="s">
        <v>93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1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17" ht="14.25" customHeight="1" x14ac:dyDescent="0.3">
      <c r="A7" s="10"/>
    </row>
    <row r="8" spans="1:17" ht="18.75" x14ac:dyDescent="0.3">
      <c r="A8" s="105" t="s">
        <v>73</v>
      </c>
      <c r="B8" s="105"/>
      <c r="C8" s="105"/>
      <c r="D8" s="105"/>
      <c r="E8" s="105"/>
      <c r="F8" s="106"/>
      <c r="G8" s="108"/>
      <c r="H8" s="108"/>
      <c r="I8" s="108"/>
      <c r="J8" s="108"/>
      <c r="K8" s="108"/>
      <c r="L8" s="108"/>
      <c r="M8" s="108"/>
      <c r="N8" s="108"/>
      <c r="O8" s="108"/>
      <c r="P8" s="107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</row>
    <row r="11" spans="1:1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8.75" x14ac:dyDescent="0.3">
      <c r="A12" s="105" t="s">
        <v>94</v>
      </c>
      <c r="B12" s="105"/>
      <c r="C12" s="105"/>
      <c r="D12" s="105"/>
      <c r="E12" s="105"/>
      <c r="F12" s="105"/>
      <c r="G12" s="105"/>
      <c r="H12" s="105"/>
      <c r="I12" s="105"/>
      <c r="J12" s="106"/>
      <c r="K12" s="108"/>
      <c r="L12" s="107"/>
    </row>
    <row r="13" spans="1:17" ht="6" customHeight="1" x14ac:dyDescent="0.3">
      <c r="A13" s="11"/>
      <c r="B13" s="11"/>
      <c r="C13" s="11"/>
      <c r="D13" s="11"/>
      <c r="J13" s="9"/>
    </row>
    <row r="14" spans="1:17" ht="18.75" x14ac:dyDescent="0.3">
      <c r="A14" s="105" t="s">
        <v>95</v>
      </c>
      <c r="B14" s="105"/>
      <c r="C14" s="105"/>
      <c r="D14" s="105"/>
      <c r="E14" s="2"/>
      <c r="F14" s="15" t="s">
        <v>69</v>
      </c>
      <c r="J14" s="9"/>
    </row>
    <row r="15" spans="1:17" s="16" customFormat="1" ht="18.75" x14ac:dyDescent="0.3">
      <c r="A15" s="14" t="s">
        <v>96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s="16" customFormat="1" ht="18.75" x14ac:dyDescent="0.3">
      <c r="A16" s="14" t="s">
        <v>97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s="19" customFormat="1" ht="19.5" x14ac:dyDescent="0.35">
      <c r="A17" s="17" t="s">
        <v>98</v>
      </c>
      <c r="B17" s="17"/>
      <c r="C17" s="18">
        <f>J12</f>
        <v>0</v>
      </c>
      <c r="D17" s="18" t="s">
        <v>15</v>
      </c>
      <c r="E17" s="18">
        <f>E14</f>
        <v>0</v>
      </c>
      <c r="F17" s="17" t="s">
        <v>16</v>
      </c>
      <c r="G17" s="17"/>
      <c r="I17" s="95">
        <f>(30*C17*E17)/1000</f>
        <v>0</v>
      </c>
      <c r="J17" s="17" t="s">
        <v>65</v>
      </c>
      <c r="K17" s="17"/>
      <c r="L17" s="21"/>
      <c r="M17" s="21"/>
      <c r="N17" s="21"/>
    </row>
    <row r="18" spans="1:17" s="16" customFormat="1" ht="18.75" x14ac:dyDescent="0.3">
      <c r="A18" s="14" t="s">
        <v>99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s="16" customFormat="1" ht="18.75" x14ac:dyDescent="0.3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19" customFormat="1" ht="19.5" x14ac:dyDescent="0.35">
      <c r="A20" s="17" t="s">
        <v>98</v>
      </c>
      <c r="B20" s="17"/>
      <c r="C20" s="18">
        <f>J12</f>
        <v>0</v>
      </c>
      <c r="D20" s="18" t="s">
        <v>15</v>
      </c>
      <c r="E20" s="18">
        <f>E14</f>
        <v>0</v>
      </c>
      <c r="F20" s="17" t="s">
        <v>16</v>
      </c>
      <c r="G20" s="17"/>
      <c r="I20" s="95">
        <f>(30*C20*E20)/1000</f>
        <v>0</v>
      </c>
      <c r="J20" s="17" t="s">
        <v>77</v>
      </c>
      <c r="K20" s="17"/>
      <c r="L20" s="21"/>
      <c r="M20" s="21"/>
      <c r="N20" s="21"/>
    </row>
    <row r="21" spans="1:17" s="19" customFormat="1" ht="19.5" x14ac:dyDescent="0.35">
      <c r="A21" s="17"/>
      <c r="B21" s="17"/>
      <c r="C21" s="18"/>
      <c r="D21" s="17"/>
      <c r="E21" s="18"/>
      <c r="F21" s="17"/>
      <c r="G21" s="17"/>
      <c r="H21" s="17"/>
      <c r="I21" s="17"/>
      <c r="J21" s="18"/>
      <c r="K21" s="17"/>
      <c r="L21" s="17"/>
      <c r="P21" s="21"/>
      <c r="Q21" s="21"/>
    </row>
    <row r="22" spans="1:17" ht="22.5" customHeight="1" x14ac:dyDescent="0.3">
      <c r="A22" s="105" t="s">
        <v>100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6"/>
      <c r="M22" s="108"/>
      <c r="N22" s="107"/>
    </row>
    <row r="23" spans="1:17" s="16" customFormat="1" ht="18.75" x14ac:dyDescent="0.3">
      <c r="A23" s="14" t="s">
        <v>102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s="16" customFormat="1" ht="18.75" x14ac:dyDescent="0.3">
      <c r="A24" s="14" t="s">
        <v>101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s="19" customFormat="1" ht="19.5" x14ac:dyDescent="0.35">
      <c r="A25" s="17" t="s">
        <v>38</v>
      </c>
      <c r="B25" s="17"/>
      <c r="C25" s="18">
        <f>L22</f>
        <v>0</v>
      </c>
      <c r="D25" s="18" t="s">
        <v>15</v>
      </c>
      <c r="E25" s="18">
        <f>E14</f>
        <v>0</v>
      </c>
      <c r="F25" s="17" t="s">
        <v>16</v>
      </c>
      <c r="G25" s="17"/>
      <c r="I25" s="95">
        <f>(50*C25*E25)/1000</f>
        <v>0</v>
      </c>
      <c r="J25" s="17" t="s">
        <v>65</v>
      </c>
      <c r="K25" s="17"/>
      <c r="L25" s="21"/>
      <c r="M25" s="21"/>
      <c r="N25" s="21"/>
    </row>
    <row r="26" spans="1:17" s="16" customFormat="1" ht="18.75" x14ac:dyDescent="0.3">
      <c r="A26" s="14" t="s">
        <v>103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6" customFormat="1" ht="18.75" x14ac:dyDescent="0.3">
      <c r="A27" s="14" t="s">
        <v>101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9" customFormat="1" ht="19.5" x14ac:dyDescent="0.35">
      <c r="A28" s="17" t="s">
        <v>38</v>
      </c>
      <c r="B28" s="17"/>
      <c r="C28" s="18">
        <f>L22</f>
        <v>0</v>
      </c>
      <c r="D28" s="18" t="s">
        <v>15</v>
      </c>
      <c r="E28" s="18">
        <f>E14</f>
        <v>0</v>
      </c>
      <c r="F28" s="17" t="s">
        <v>16</v>
      </c>
      <c r="G28" s="17"/>
      <c r="I28" s="95">
        <f>(50*C28*E28)/1000</f>
        <v>0</v>
      </c>
      <c r="J28" s="17" t="s">
        <v>77</v>
      </c>
      <c r="K28" s="17"/>
      <c r="L28" s="21"/>
      <c r="M28" s="21"/>
      <c r="N28" s="21"/>
    </row>
    <row r="29" spans="1:17" s="19" customFormat="1" ht="19.5" x14ac:dyDescent="0.35">
      <c r="A29" s="17"/>
      <c r="B29" s="17"/>
      <c r="C29" s="18"/>
      <c r="D29" s="18"/>
      <c r="E29" s="18"/>
      <c r="F29" s="17"/>
      <c r="G29" s="17"/>
      <c r="I29" s="20"/>
      <c r="J29" s="17"/>
      <c r="K29" s="17"/>
      <c r="L29" s="21"/>
      <c r="M29" s="21"/>
      <c r="N29" s="21"/>
    </row>
    <row r="30" spans="1:17" ht="22.5" customHeight="1" x14ac:dyDescent="0.3">
      <c r="A30" s="105" t="s">
        <v>340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6"/>
      <c r="M30" s="108"/>
      <c r="N30" s="107"/>
    </row>
    <row r="31" spans="1:17" s="16" customFormat="1" ht="18.75" x14ac:dyDescent="0.3">
      <c r="A31" s="14" t="s">
        <v>102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s="16" customFormat="1" ht="18.75" x14ac:dyDescent="0.3">
      <c r="A32" s="14" t="s">
        <v>101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19" customFormat="1" ht="19.5" x14ac:dyDescent="0.35">
      <c r="A33" s="17" t="s">
        <v>38</v>
      </c>
      <c r="B33" s="17"/>
      <c r="C33" s="18">
        <f>L30</f>
        <v>0</v>
      </c>
      <c r="D33" s="18" t="s">
        <v>15</v>
      </c>
      <c r="E33" s="18">
        <f>E14</f>
        <v>0</v>
      </c>
      <c r="F33" s="17" t="s">
        <v>16</v>
      </c>
      <c r="G33" s="17"/>
      <c r="I33" s="95">
        <f>(50*C33*E33)/1000</f>
        <v>0</v>
      </c>
      <c r="J33" s="17" t="s">
        <v>65</v>
      </c>
      <c r="K33" s="17"/>
      <c r="L33" s="21"/>
      <c r="M33" s="21"/>
      <c r="N33" s="21"/>
    </row>
    <row r="34" spans="1:17" s="16" customFormat="1" ht="18.75" x14ac:dyDescent="0.3">
      <c r="A34" s="14" t="s">
        <v>341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16" customFormat="1" ht="18.75" x14ac:dyDescent="0.3">
      <c r="A35" s="14" t="s">
        <v>342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19" customFormat="1" ht="19.5" x14ac:dyDescent="0.35">
      <c r="A36" s="17" t="s">
        <v>161</v>
      </c>
      <c r="B36" s="17"/>
      <c r="C36" s="18">
        <f>L30</f>
        <v>0</v>
      </c>
      <c r="D36" s="18" t="s">
        <v>15</v>
      </c>
      <c r="E36" s="18">
        <f>E14</f>
        <v>0</v>
      </c>
      <c r="F36" s="17" t="s">
        <v>16</v>
      </c>
      <c r="G36" s="17"/>
      <c r="I36" s="95">
        <f>(60*C36*E36)/1000</f>
        <v>0</v>
      </c>
      <c r="J36" s="17" t="s">
        <v>77</v>
      </c>
      <c r="K36" s="17"/>
      <c r="L36" s="21"/>
      <c r="M36" s="21"/>
      <c r="N36" s="21"/>
    </row>
    <row r="37" spans="1:17" s="19" customFormat="1" ht="19.5" x14ac:dyDescent="0.35">
      <c r="A37" s="17"/>
      <c r="B37" s="17"/>
      <c r="C37" s="18"/>
      <c r="D37" s="18"/>
      <c r="E37" s="18"/>
      <c r="F37" s="17"/>
      <c r="G37" s="17"/>
      <c r="I37" s="20"/>
      <c r="J37" s="17"/>
      <c r="K37" s="17"/>
      <c r="L37" s="21"/>
      <c r="M37" s="21"/>
      <c r="N37" s="21"/>
    </row>
    <row r="38" spans="1:17" ht="22.5" customHeight="1" x14ac:dyDescent="0.3">
      <c r="A38" s="119" t="s">
        <v>343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6"/>
      <c r="M38" s="108"/>
      <c r="N38" s="107"/>
    </row>
    <row r="39" spans="1:17" ht="18.75" x14ac:dyDescent="0.3">
      <c r="A39" s="50" t="s">
        <v>344</v>
      </c>
      <c r="B39" s="52"/>
      <c r="C39" s="52"/>
      <c r="D39" s="52"/>
      <c r="E39" s="52"/>
      <c r="F39" s="52"/>
      <c r="G39" s="52"/>
      <c r="H39" s="52"/>
      <c r="I39" s="52"/>
      <c r="Q39" s="9"/>
    </row>
    <row r="40" spans="1:17" s="16" customFormat="1" ht="18.75" x14ac:dyDescent="0.3">
      <c r="A40" s="14" t="s">
        <v>345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1:17" s="16" customFormat="1" ht="18.75" x14ac:dyDescent="0.3">
      <c r="A41" s="14" t="s">
        <v>346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s="19" customFormat="1" ht="19.5" x14ac:dyDescent="0.35">
      <c r="A42" s="17" t="s">
        <v>347</v>
      </c>
      <c r="B42" s="17"/>
      <c r="C42" s="18">
        <f>L38</f>
        <v>0</v>
      </c>
      <c r="D42" s="18" t="s">
        <v>15</v>
      </c>
      <c r="E42" s="18">
        <f>E14</f>
        <v>0</v>
      </c>
      <c r="F42" s="17" t="s">
        <v>16</v>
      </c>
      <c r="G42" s="17"/>
      <c r="I42" s="95">
        <f>(80*C42*E42)/1000</f>
        <v>0</v>
      </c>
      <c r="J42" s="17" t="s">
        <v>65</v>
      </c>
      <c r="K42" s="17"/>
      <c r="L42" s="21"/>
      <c r="M42" s="21"/>
      <c r="N42" s="21"/>
    </row>
    <row r="43" spans="1:17" s="16" customFormat="1" ht="18.75" x14ac:dyDescent="0.3">
      <c r="A43" s="14" t="s">
        <v>348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6" customFormat="1" ht="18.75" x14ac:dyDescent="0.3">
      <c r="A44" s="14" t="s">
        <v>346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s="19" customFormat="1" ht="19.5" x14ac:dyDescent="0.35">
      <c r="A45" s="17" t="s">
        <v>347</v>
      </c>
      <c r="B45" s="17"/>
      <c r="C45" s="18">
        <f>L38</f>
        <v>0</v>
      </c>
      <c r="D45" s="18" t="s">
        <v>15</v>
      </c>
      <c r="E45" s="18">
        <f>E14</f>
        <v>0</v>
      </c>
      <c r="F45" s="17" t="s">
        <v>16</v>
      </c>
      <c r="G45" s="17"/>
      <c r="I45" s="95">
        <f>(80*C45*E45)/1000</f>
        <v>0</v>
      </c>
      <c r="J45" s="17" t="s">
        <v>77</v>
      </c>
      <c r="K45" s="17"/>
      <c r="L45" s="21"/>
      <c r="M45" s="21"/>
      <c r="N45" s="21"/>
    </row>
    <row r="46" spans="1:17" s="19" customFormat="1" ht="19.5" x14ac:dyDescent="0.35">
      <c r="A46" s="17"/>
      <c r="B46" s="17"/>
      <c r="C46" s="18"/>
      <c r="D46" s="18"/>
      <c r="E46" s="18"/>
      <c r="F46" s="17"/>
      <c r="G46" s="17"/>
      <c r="I46" s="20"/>
      <c r="J46" s="17"/>
      <c r="K46" s="17"/>
      <c r="L46" s="21"/>
      <c r="M46" s="21"/>
      <c r="N46" s="21"/>
    </row>
    <row r="47" spans="1:17" ht="18.75" x14ac:dyDescent="0.3">
      <c r="A47" s="105" t="s">
        <v>349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15"/>
      <c r="O47" s="106"/>
      <c r="P47" s="107"/>
    </row>
    <row r="48" spans="1:17" s="16" customFormat="1" ht="18.75" x14ac:dyDescent="0.3">
      <c r="A48" s="14" t="s">
        <v>104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s="16" customFormat="1" ht="18.75" x14ac:dyDescent="0.3">
      <c r="A49" s="14" t="s">
        <v>105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9" customFormat="1" ht="19.5" x14ac:dyDescent="0.35">
      <c r="A50" s="17" t="s">
        <v>106</v>
      </c>
      <c r="B50" s="17"/>
      <c r="C50" s="18">
        <f>O47</f>
        <v>0</v>
      </c>
      <c r="D50" s="18" t="s">
        <v>15</v>
      </c>
      <c r="E50" s="18">
        <f>E14</f>
        <v>0</v>
      </c>
      <c r="F50" s="17" t="s">
        <v>16</v>
      </c>
      <c r="G50" s="17"/>
      <c r="I50" s="95">
        <f>(150*C50*E50)/1000</f>
        <v>0</v>
      </c>
      <c r="J50" s="17" t="s">
        <v>65</v>
      </c>
      <c r="K50" s="17"/>
      <c r="L50" s="21"/>
      <c r="M50" s="21"/>
      <c r="N50" s="21"/>
    </row>
    <row r="51" spans="1:17" s="16" customFormat="1" ht="18.75" x14ac:dyDescent="0.3">
      <c r="A51" s="14" t="s">
        <v>107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6" customFormat="1" ht="18.75" x14ac:dyDescent="0.3">
      <c r="A52" s="14" t="s">
        <v>105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9" customFormat="1" ht="19.5" x14ac:dyDescent="0.35">
      <c r="A53" s="17" t="s">
        <v>106</v>
      </c>
      <c r="B53" s="17"/>
      <c r="C53" s="18">
        <f>O47</f>
        <v>0</v>
      </c>
      <c r="D53" s="18" t="s">
        <v>15</v>
      </c>
      <c r="E53" s="18">
        <f>E14</f>
        <v>0</v>
      </c>
      <c r="F53" s="17" t="s">
        <v>16</v>
      </c>
      <c r="G53" s="17"/>
      <c r="I53" s="95">
        <f>(150*C53*E53)/1000</f>
        <v>0</v>
      </c>
      <c r="J53" s="17" t="s">
        <v>77</v>
      </c>
      <c r="K53" s="17"/>
      <c r="L53" s="21"/>
      <c r="M53" s="21"/>
      <c r="N53" s="21"/>
    </row>
    <row r="55" spans="1:17" s="52" customFormat="1" ht="15.75" x14ac:dyDescent="0.25">
      <c r="A55" s="69" t="s">
        <v>586</v>
      </c>
    </row>
    <row r="56" spans="1:17" ht="18.75" x14ac:dyDescent="0.3">
      <c r="A56" s="105" t="s">
        <v>63</v>
      </c>
      <c r="B56" s="105"/>
      <c r="C56" s="105"/>
      <c r="D56" s="105"/>
      <c r="E56" s="105"/>
      <c r="F56" s="106"/>
      <c r="G56" s="108"/>
      <c r="H56" s="107"/>
      <c r="I56" s="30"/>
    </row>
    <row r="57" spans="1:17" ht="9" customHeight="1" x14ac:dyDescent="0.3">
      <c r="A57" s="11"/>
      <c r="B57" s="11"/>
      <c r="C57" s="11"/>
      <c r="D57" s="11"/>
      <c r="J57" s="9"/>
      <c r="Q57" s="9"/>
    </row>
    <row r="58" spans="1:17" ht="18.75" x14ac:dyDescent="0.3">
      <c r="A58" s="105" t="s">
        <v>64</v>
      </c>
      <c r="B58" s="105"/>
      <c r="C58" s="105"/>
      <c r="D58" s="105"/>
      <c r="E58" s="105"/>
      <c r="F58" s="106"/>
      <c r="G58" s="108"/>
      <c r="H58" s="107"/>
      <c r="I58" s="15" t="s">
        <v>69</v>
      </c>
      <c r="J58" s="9"/>
      <c r="Q58" s="9"/>
    </row>
    <row r="59" spans="1:17" ht="18.75" x14ac:dyDescent="0.3">
      <c r="A59" s="14" t="s">
        <v>325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7" ht="18.75" customHeight="1" x14ac:dyDescent="0.3">
      <c r="A60" s="14" t="s">
        <v>326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Q60" s="9"/>
    </row>
    <row r="61" spans="1:17" ht="19.5" x14ac:dyDescent="0.35">
      <c r="A61" s="17" t="s">
        <v>84</v>
      </c>
      <c r="B61" s="17"/>
      <c r="C61" s="18">
        <f>F56</f>
        <v>0</v>
      </c>
      <c r="D61" s="18" t="s">
        <v>15</v>
      </c>
      <c r="E61" s="18">
        <f>F58</f>
        <v>0</v>
      </c>
      <c r="F61" s="17" t="s">
        <v>16</v>
      </c>
      <c r="G61" s="17"/>
      <c r="H61" s="19"/>
      <c r="I61" s="95">
        <f>(7*C61*E61)/1000</f>
        <v>0</v>
      </c>
      <c r="J61" s="17" t="s">
        <v>65</v>
      </c>
      <c r="K61" s="17"/>
      <c r="L61" s="21"/>
      <c r="M61" s="21"/>
      <c r="Q61" s="9"/>
    </row>
    <row r="62" spans="1:17" ht="18.75" x14ac:dyDescent="0.3">
      <c r="A62" s="14" t="s">
        <v>220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Q62" s="9"/>
    </row>
    <row r="63" spans="1:17" ht="18.75" x14ac:dyDescent="0.3">
      <c r="A63" s="14" t="s">
        <v>327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Q63" s="9"/>
    </row>
    <row r="64" spans="1:17" ht="19.5" x14ac:dyDescent="0.35">
      <c r="A64" s="17" t="s">
        <v>198</v>
      </c>
      <c r="B64" s="17"/>
      <c r="C64" s="18">
        <f>F56</f>
        <v>0</v>
      </c>
      <c r="D64" s="18" t="s">
        <v>15</v>
      </c>
      <c r="E64" s="18">
        <f>F58</f>
        <v>0</v>
      </c>
      <c r="F64" s="17" t="s">
        <v>16</v>
      </c>
      <c r="G64" s="17"/>
      <c r="H64" s="19"/>
      <c r="I64" s="95">
        <f>(5*C64*E64)/1000</f>
        <v>0</v>
      </c>
      <c r="J64" s="17" t="s">
        <v>66</v>
      </c>
      <c r="K64" s="17"/>
      <c r="L64" s="21"/>
      <c r="M64" s="21"/>
    </row>
    <row r="66" spans="1:12" ht="18.75" x14ac:dyDescent="0.3">
      <c r="A66" s="102" t="s">
        <v>60</v>
      </c>
      <c r="B66" s="102"/>
      <c r="C66" s="102"/>
      <c r="D66" s="102"/>
      <c r="E66" s="104">
        <f>I17+I20+I25+I28+I33+I36+I42+I45+I50+I53+I61+I64</f>
        <v>0</v>
      </c>
      <c r="F66" s="104"/>
      <c r="G66" s="104"/>
      <c r="H66" s="104"/>
      <c r="I66" s="103" t="s">
        <v>27</v>
      </c>
      <c r="J66" s="103"/>
      <c r="K66" s="103"/>
      <c r="L66" s="103"/>
    </row>
    <row r="67" spans="1:12" ht="18.75" x14ac:dyDescent="0.3">
      <c r="A67" s="26" t="s">
        <v>8</v>
      </c>
    </row>
    <row r="68" spans="1:12" ht="18.75" x14ac:dyDescent="0.3">
      <c r="A68" s="26" t="s">
        <v>149</v>
      </c>
    </row>
    <row r="69" spans="1:12" ht="18.75" x14ac:dyDescent="0.3">
      <c r="A69" s="27"/>
    </row>
    <row r="70" spans="1:12" ht="18.75" x14ac:dyDescent="0.3">
      <c r="A70" s="26" t="s">
        <v>9</v>
      </c>
    </row>
    <row r="71" spans="1:12" ht="18.75" x14ac:dyDescent="0.3">
      <c r="A71" s="26"/>
    </row>
    <row r="72" spans="1:12" ht="18.75" x14ac:dyDescent="0.3">
      <c r="A72" s="26" t="s">
        <v>10</v>
      </c>
    </row>
  </sheetData>
  <sheetProtection password="CA9C" sheet="1" objects="1" scenarios="1"/>
  <protectedRanges>
    <protectedRange sqref="A4 G6 J6 F8 A10 J12 E14 L22 L30 L38 O47 F56 F58" name="Диапазон1"/>
  </protectedRanges>
  <mergeCells count="29">
    <mergeCell ref="I66:L66"/>
    <mergeCell ref="A5:P5"/>
    <mergeCell ref="A12:I12"/>
    <mergeCell ref="J12:L12"/>
    <mergeCell ref="A14:D14"/>
    <mergeCell ref="A22:K22"/>
    <mergeCell ref="L22:N22"/>
    <mergeCell ref="A66:D66"/>
    <mergeCell ref="E66:H66"/>
    <mergeCell ref="A10:P10"/>
    <mergeCell ref="A56:E56"/>
    <mergeCell ref="F56:H56"/>
    <mergeCell ref="A58:E58"/>
    <mergeCell ref="F58:H58"/>
    <mergeCell ref="A47:N47"/>
    <mergeCell ref="A8:E8"/>
    <mergeCell ref="F8:P8"/>
    <mergeCell ref="O47:P47"/>
    <mergeCell ref="A30:K30"/>
    <mergeCell ref="A1:P1"/>
    <mergeCell ref="A2:P2"/>
    <mergeCell ref="A3:P3"/>
    <mergeCell ref="A4:P4"/>
    <mergeCell ref="C6:F6"/>
    <mergeCell ref="G6:H6"/>
    <mergeCell ref="J6:M6"/>
    <mergeCell ref="L30:N30"/>
    <mergeCell ref="A38:K38"/>
    <mergeCell ref="L38:N38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1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0">
    <pageSetUpPr fitToPage="1"/>
  </sheetPr>
  <dimension ref="A1:Y31"/>
  <sheetViews>
    <sheetView zoomScaleNormal="100" workbookViewId="0">
      <selection activeCell="F14" sqref="F14:H14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7.140625" style="5" customWidth="1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1.85546875" style="9" customWidth="1"/>
    <col min="18" max="18" width="7.7109375" style="5" customWidth="1"/>
    <col min="19" max="19" width="4.5703125" style="5" customWidth="1"/>
    <col min="20" max="24" width="7.710937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</row>
    <row r="3" spans="1:25" ht="18.75" customHeight="1" x14ac:dyDescent="0.3">
      <c r="A3" s="124" t="s">
        <v>108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</row>
    <row r="7" spans="1:25" ht="14.25" customHeight="1" x14ac:dyDescent="0.3">
      <c r="A7" s="10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5" ht="18.75" x14ac:dyDescent="0.3">
      <c r="A12" s="105" t="s">
        <v>90</v>
      </c>
      <c r="B12" s="105"/>
      <c r="C12" s="105"/>
      <c r="D12" s="105"/>
      <c r="E12" s="105"/>
      <c r="F12" s="105"/>
      <c r="G12" s="105"/>
      <c r="H12" s="105"/>
      <c r="I12" s="115"/>
      <c r="J12" s="106"/>
      <c r="K12" s="108"/>
      <c r="L12" s="107"/>
    </row>
    <row r="13" spans="1:25" ht="6" customHeight="1" x14ac:dyDescent="0.3">
      <c r="A13" s="11"/>
      <c r="B13" s="11"/>
      <c r="C13" s="11"/>
      <c r="D13" s="11"/>
      <c r="J13" s="9"/>
    </row>
    <row r="14" spans="1:25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</row>
    <row r="15" spans="1:25" s="16" customFormat="1" ht="18.75" x14ac:dyDescent="0.3">
      <c r="A15" s="14" t="s">
        <v>350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5"/>
      <c r="S15" s="5"/>
      <c r="T15" s="5"/>
      <c r="U15" s="5"/>
      <c r="V15" s="5"/>
      <c r="W15" s="5"/>
      <c r="X15" s="5"/>
      <c r="Y15" s="5"/>
    </row>
    <row r="16" spans="1:25" s="16" customFormat="1" ht="18.75" x14ac:dyDescent="0.3">
      <c r="A16" s="14" t="s">
        <v>112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25</v>
      </c>
      <c r="B17" s="17"/>
      <c r="C17" s="18">
        <f>J12</f>
        <v>0</v>
      </c>
      <c r="D17" s="18" t="s">
        <v>15</v>
      </c>
      <c r="E17" s="18">
        <f>F14</f>
        <v>0</v>
      </c>
      <c r="F17" s="17" t="s">
        <v>16</v>
      </c>
      <c r="G17" s="17"/>
      <c r="I17" s="95">
        <f>(6*C17*E17)/1000</f>
        <v>0</v>
      </c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351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537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612</v>
      </c>
      <c r="B20" s="17"/>
      <c r="C20" s="18">
        <f>J12</f>
        <v>0</v>
      </c>
      <c r="D20" s="18" t="s">
        <v>15</v>
      </c>
      <c r="E20" s="18">
        <f>F14</f>
        <v>0</v>
      </c>
      <c r="F20" s="17" t="s">
        <v>16</v>
      </c>
      <c r="G20" s="17"/>
      <c r="I20" s="95">
        <f>(2.6*C20*E20)/1000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2"/>
    </row>
    <row r="22" spans="1:17" x14ac:dyDescent="0.2">
      <c r="Q22" s="5"/>
    </row>
    <row r="25" spans="1:17" ht="18.75" x14ac:dyDescent="0.3">
      <c r="A25" s="102" t="s">
        <v>60</v>
      </c>
      <c r="B25" s="102"/>
      <c r="C25" s="102"/>
      <c r="D25" s="102"/>
      <c r="E25" s="104">
        <f>I17+I20</f>
        <v>0</v>
      </c>
      <c r="F25" s="104"/>
      <c r="G25" s="104"/>
      <c r="H25" s="104"/>
      <c r="I25" s="103" t="s">
        <v>27</v>
      </c>
      <c r="J25" s="103"/>
      <c r="K25" s="103"/>
      <c r="L25" s="103"/>
    </row>
    <row r="26" spans="1:17" ht="18.75" x14ac:dyDescent="0.3">
      <c r="A26" s="26" t="s">
        <v>8</v>
      </c>
    </row>
    <row r="27" spans="1:17" ht="18.75" x14ac:dyDescent="0.3">
      <c r="A27" s="26" t="s">
        <v>149</v>
      </c>
      <c r="Q27" s="5"/>
    </row>
    <row r="28" spans="1:17" ht="12" customHeight="1" x14ac:dyDescent="0.3">
      <c r="A28" s="27"/>
    </row>
    <row r="29" spans="1:17" ht="18.75" x14ac:dyDescent="0.3">
      <c r="A29" s="26" t="s">
        <v>9</v>
      </c>
    </row>
    <row r="30" spans="1:17" ht="18.75" x14ac:dyDescent="0.3">
      <c r="A30" s="26"/>
    </row>
    <row r="31" spans="1:17" ht="18.75" x14ac:dyDescent="0.3">
      <c r="A31" s="26" t="s">
        <v>10</v>
      </c>
    </row>
  </sheetData>
  <sheetProtection password="CA9C" sheet="1" objects="1" scenarios="1"/>
  <protectedRanges>
    <protectedRange sqref="A4 G6 J6 J8 A10 J12 F14" name="Диапазон1"/>
  </protectedRanges>
  <mergeCells count="18">
    <mergeCell ref="I25:L25"/>
    <mergeCell ref="A25:D25"/>
    <mergeCell ref="E25:H25"/>
    <mergeCell ref="C6:F6"/>
    <mergeCell ref="G6:H6"/>
    <mergeCell ref="A14:E14"/>
    <mergeCell ref="F14:H14"/>
    <mergeCell ref="J6:M6"/>
    <mergeCell ref="A8:I8"/>
    <mergeCell ref="J8:P8"/>
    <mergeCell ref="J12:L12"/>
    <mergeCell ref="A10:P10"/>
    <mergeCell ref="A12:I12"/>
    <mergeCell ref="A1:P1"/>
    <mergeCell ref="A2:P2"/>
    <mergeCell ref="A3:P3"/>
    <mergeCell ref="A4:P4"/>
    <mergeCell ref="A5:P5"/>
  </mergeCells>
  <phoneticPr fontId="0" type="noConversion"/>
  <pageMargins left="0.59055118110236227" right="0.19685039370078741" top="0.59055118110236227" bottom="0.59055118110236227" header="0.51181102362204722" footer="0.51181102362204722"/>
  <pageSetup paperSize="9" fitToHeight="0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1">
    <pageSetUpPr fitToPage="1"/>
  </sheetPr>
  <dimension ref="A1:Z28"/>
  <sheetViews>
    <sheetView topLeftCell="A7" zoomScaleNormal="100" workbookViewId="0">
      <selection activeCell="F12" sqref="F12:H12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7.140625" style="5" customWidth="1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6.85546875" style="5" customWidth="1"/>
    <col min="19" max="19" width="5.42578125" style="5" customWidth="1"/>
    <col min="20" max="23" width="6.85546875" style="5" customWidth="1"/>
    <col min="24" max="24" width="7.85546875" style="5" customWidth="1"/>
    <col min="25" max="16384" width="9.140625" style="5"/>
  </cols>
  <sheetData>
    <row r="1" spans="1:26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  <c r="R1" s="19"/>
      <c r="S1" s="19"/>
      <c r="T1" s="19"/>
      <c r="U1" s="19"/>
      <c r="V1" s="19"/>
      <c r="W1" s="19"/>
      <c r="X1" s="19"/>
      <c r="Y1" s="19"/>
      <c r="Z1" s="19"/>
    </row>
    <row r="2" spans="1:26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9"/>
      <c r="S2" s="19"/>
      <c r="T2" s="19"/>
      <c r="U2" s="19"/>
      <c r="V2" s="19"/>
      <c r="W2" s="19"/>
      <c r="X2" s="19"/>
      <c r="Y2" s="19"/>
      <c r="Z2" s="19"/>
    </row>
    <row r="3" spans="1:26" ht="18.75" customHeight="1" x14ac:dyDescent="0.3">
      <c r="A3" s="124" t="s">
        <v>110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9"/>
      <c r="S3" s="19"/>
      <c r="T3" s="19"/>
      <c r="U3" s="19"/>
      <c r="V3" s="19"/>
      <c r="W3" s="19"/>
      <c r="X3" s="19"/>
      <c r="Y3" s="19"/>
      <c r="Z3" s="19"/>
    </row>
    <row r="4" spans="1:26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9"/>
      <c r="S4" s="19"/>
      <c r="T4" s="19"/>
      <c r="U4" s="19"/>
      <c r="V4" s="19"/>
      <c r="W4" s="19"/>
      <c r="X4" s="19"/>
      <c r="Y4" s="19"/>
      <c r="Z4" s="19"/>
    </row>
    <row r="5" spans="1:26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9"/>
      <c r="S5" s="19"/>
      <c r="T5" s="19"/>
      <c r="U5" s="19"/>
      <c r="V5" s="19"/>
      <c r="W5" s="19"/>
      <c r="X5" s="19"/>
      <c r="Y5" s="19"/>
      <c r="Z5" s="19"/>
    </row>
    <row r="6" spans="1:26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9"/>
      <c r="S6" s="19"/>
      <c r="T6" s="19"/>
      <c r="U6" s="19"/>
      <c r="V6" s="19"/>
      <c r="W6" s="19"/>
      <c r="X6" s="19"/>
      <c r="Y6" s="19"/>
      <c r="Z6" s="19"/>
    </row>
    <row r="7" spans="1:26" ht="14.25" customHeight="1" x14ac:dyDescent="0.3">
      <c r="A7" s="10"/>
      <c r="R7" s="19"/>
      <c r="S7" s="19"/>
      <c r="T7" s="19"/>
      <c r="U7" s="19"/>
      <c r="V7" s="19"/>
      <c r="W7" s="19"/>
      <c r="X7" s="19"/>
      <c r="Y7" s="19"/>
      <c r="Z7" s="19"/>
    </row>
    <row r="8" spans="1:26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9"/>
      <c r="S8" s="19"/>
      <c r="T8" s="19"/>
      <c r="U8" s="19"/>
      <c r="V8" s="19"/>
      <c r="W8" s="19"/>
      <c r="X8" s="19"/>
      <c r="Y8" s="19"/>
      <c r="Z8" s="19"/>
    </row>
    <row r="9" spans="1:26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9"/>
      <c r="S9" s="19"/>
      <c r="T9" s="19"/>
      <c r="U9" s="19"/>
      <c r="V9" s="19"/>
      <c r="W9" s="19"/>
      <c r="X9" s="19"/>
      <c r="Y9" s="19"/>
      <c r="Z9" s="19"/>
    </row>
    <row r="10" spans="1:26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.75" x14ac:dyDescent="0.3">
      <c r="A12" s="105" t="s">
        <v>64</v>
      </c>
      <c r="B12" s="105"/>
      <c r="C12" s="105"/>
      <c r="D12" s="105"/>
      <c r="E12" s="105"/>
      <c r="F12" s="106"/>
      <c r="G12" s="108"/>
      <c r="H12" s="107"/>
      <c r="I12" s="15" t="s">
        <v>69</v>
      </c>
      <c r="J12" s="19"/>
      <c r="K12" s="19"/>
      <c r="L12" s="19"/>
      <c r="M12" s="19"/>
      <c r="N12" s="19"/>
      <c r="O12" s="19"/>
      <c r="P12" s="19"/>
      <c r="Q12" s="22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8.75" x14ac:dyDescent="0.3">
      <c r="A13" s="105" t="s">
        <v>111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6"/>
      <c r="L13" s="108"/>
      <c r="M13" s="107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16" customFormat="1" ht="18.75" x14ac:dyDescent="0.3">
      <c r="A14" s="14" t="s">
        <v>352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16" customFormat="1" ht="18.75" x14ac:dyDescent="0.3">
      <c r="A15" s="14" t="s">
        <v>353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19" customFormat="1" ht="19.5" x14ac:dyDescent="0.35">
      <c r="A16" s="17" t="s">
        <v>613</v>
      </c>
      <c r="B16" s="17"/>
      <c r="C16" s="18">
        <f>K13</f>
        <v>0</v>
      </c>
      <c r="D16" s="18" t="s">
        <v>15</v>
      </c>
      <c r="E16" s="18">
        <f>F12</f>
        <v>0</v>
      </c>
      <c r="F16" s="17" t="s">
        <v>16</v>
      </c>
      <c r="G16" s="17"/>
      <c r="I16" s="95">
        <f>(2.5*C16*E16)/1000</f>
        <v>0</v>
      </c>
      <c r="J16" s="17" t="s">
        <v>65</v>
      </c>
      <c r="K16" s="17"/>
      <c r="L16" s="21"/>
      <c r="M16" s="21"/>
      <c r="N16" s="21"/>
      <c r="Q16" s="22"/>
    </row>
    <row r="17" spans="1:17" s="16" customFormat="1" ht="18.75" x14ac:dyDescent="0.3">
      <c r="A17" s="14" t="s">
        <v>354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</row>
    <row r="18" spans="1:17" s="16" customFormat="1" ht="18.75" x14ac:dyDescent="0.3">
      <c r="A18" s="14" t="s">
        <v>355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9" customFormat="1" ht="19.5" x14ac:dyDescent="0.35">
      <c r="A19" s="17" t="s">
        <v>614</v>
      </c>
      <c r="B19" s="17"/>
      <c r="C19" s="18">
        <f>K13</f>
        <v>0</v>
      </c>
      <c r="D19" s="18" t="s">
        <v>15</v>
      </c>
      <c r="E19" s="18">
        <f>F12</f>
        <v>0</v>
      </c>
      <c r="F19" s="17" t="s">
        <v>16</v>
      </c>
      <c r="G19" s="17"/>
      <c r="I19" s="95">
        <f>(1.5*C19*E19)/1000</f>
        <v>0</v>
      </c>
      <c r="J19" s="17" t="s">
        <v>66</v>
      </c>
      <c r="K19" s="17"/>
      <c r="L19" s="21"/>
      <c r="M19" s="21"/>
      <c r="N19" s="21"/>
      <c r="O19" s="21"/>
      <c r="P19" s="21"/>
      <c r="Q19" s="23"/>
    </row>
    <row r="20" spans="1:17" x14ac:dyDescent="0.2">
      <c r="Q20" s="5"/>
    </row>
    <row r="22" spans="1:17" ht="18.75" x14ac:dyDescent="0.3">
      <c r="A22" s="102" t="s">
        <v>60</v>
      </c>
      <c r="B22" s="102"/>
      <c r="C22" s="102"/>
      <c r="D22" s="102"/>
      <c r="E22" s="104">
        <f>I16+I19</f>
        <v>0</v>
      </c>
      <c r="F22" s="104"/>
      <c r="G22" s="104"/>
      <c r="H22" s="104"/>
      <c r="I22" s="103" t="s">
        <v>27</v>
      </c>
      <c r="J22" s="103"/>
      <c r="K22" s="103"/>
      <c r="L22" s="103"/>
    </row>
    <row r="23" spans="1:17" ht="18.75" x14ac:dyDescent="0.3">
      <c r="A23" s="26" t="s">
        <v>8</v>
      </c>
    </row>
    <row r="24" spans="1:17" ht="18.75" x14ac:dyDescent="0.3">
      <c r="A24" s="26" t="s">
        <v>149</v>
      </c>
      <c r="Q24" s="5"/>
    </row>
    <row r="25" spans="1:17" ht="12" customHeight="1" x14ac:dyDescent="0.3">
      <c r="A25" s="27"/>
    </row>
    <row r="26" spans="1:17" ht="18.75" x14ac:dyDescent="0.3">
      <c r="A26" s="26" t="s">
        <v>9</v>
      </c>
    </row>
    <row r="27" spans="1:17" ht="18.75" x14ac:dyDescent="0.3">
      <c r="A27" s="26"/>
    </row>
    <row r="28" spans="1:17" ht="18.75" x14ac:dyDescent="0.3">
      <c r="A28" s="26" t="s">
        <v>10</v>
      </c>
    </row>
  </sheetData>
  <sheetProtection password="CA9C" sheet="1" objects="1" scenarios="1"/>
  <protectedRanges>
    <protectedRange sqref="A4 G6 J6 J8 A10 F12 K13" name="Диапазон1"/>
  </protectedRanges>
  <mergeCells count="18">
    <mergeCell ref="C6:F6"/>
    <mergeCell ref="G6:H6"/>
    <mergeCell ref="J6:M6"/>
    <mergeCell ref="A8:I8"/>
    <mergeCell ref="A1:P1"/>
    <mergeCell ref="A2:P2"/>
    <mergeCell ref="A3:P3"/>
    <mergeCell ref="A4:P4"/>
    <mergeCell ref="A5:P5"/>
    <mergeCell ref="J8:P8"/>
    <mergeCell ref="A10:P10"/>
    <mergeCell ref="A12:E12"/>
    <mergeCell ref="F12:H12"/>
    <mergeCell ref="I22:L22"/>
    <mergeCell ref="A22:D22"/>
    <mergeCell ref="E22:H22"/>
    <mergeCell ref="A13:J13"/>
    <mergeCell ref="K13:M13"/>
  </mergeCells>
  <phoneticPr fontId="0" type="noConversion"/>
  <pageMargins left="0.59055118110236227" right="0.19685039370078741" top="0.59055118110236227" bottom="0.59055118110236227" header="0.51181102362204722" footer="0.51181102362204722"/>
  <pageSetup paperSize="9" fitToHeight="0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2">
    <pageSetUpPr fitToPage="1"/>
  </sheetPr>
  <dimension ref="A1:Q62"/>
  <sheetViews>
    <sheetView zoomScaleNormal="100" workbookViewId="0">
      <selection activeCell="F13" sqref="F13:H13"/>
    </sheetView>
  </sheetViews>
  <sheetFormatPr defaultRowHeight="12.75" x14ac:dyDescent="0.2"/>
  <cols>
    <col min="1" max="1" width="5.140625" style="5" customWidth="1"/>
    <col min="2" max="2" width="7.14062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4" style="5" customWidth="1"/>
    <col min="7" max="7" width="4.28515625" style="5" customWidth="1"/>
    <col min="8" max="8" width="7.140625" style="5" customWidth="1"/>
    <col min="9" max="9" width="11.28515625" style="5" customWidth="1"/>
    <col min="10" max="10" width="5.28515625" style="5" customWidth="1"/>
    <col min="11" max="11" width="5.140625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7.42578125" style="5" customWidth="1"/>
    <col min="19" max="19" width="3.28515625" style="5" customWidth="1"/>
    <col min="20" max="24" width="7.42578125" style="5" customWidth="1"/>
    <col min="25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</row>
    <row r="3" spans="1:17" ht="18.75" customHeight="1" x14ac:dyDescent="0.3">
      <c r="A3" s="124" t="s">
        <v>379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1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</row>
    <row r="7" spans="1:17" ht="14.25" customHeight="1" x14ac:dyDescent="0.3">
      <c r="A7" s="10"/>
    </row>
    <row r="8" spans="1:17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1:17" ht="18.75" x14ac:dyDescent="0.3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7" ht="18.75" x14ac:dyDescent="0.3">
      <c r="A11" s="50" t="s">
        <v>362</v>
      </c>
      <c r="B11" s="52"/>
      <c r="C11" s="52"/>
      <c r="D11" s="52"/>
      <c r="Q11" s="5"/>
    </row>
    <row r="12" spans="1:17" ht="18.75" x14ac:dyDescent="0.3">
      <c r="A12" s="50" t="s">
        <v>361</v>
      </c>
      <c r="B12" s="52"/>
      <c r="C12" s="52"/>
      <c r="D12" s="52"/>
      <c r="Q12" s="5"/>
    </row>
    <row r="13" spans="1:17" ht="18.75" x14ac:dyDescent="0.3">
      <c r="A13" s="105" t="s">
        <v>64</v>
      </c>
      <c r="B13" s="105"/>
      <c r="C13" s="105"/>
      <c r="D13" s="105"/>
      <c r="E13" s="105"/>
      <c r="F13" s="106"/>
      <c r="G13" s="108"/>
      <c r="H13" s="107"/>
      <c r="I13" s="15" t="s">
        <v>69</v>
      </c>
      <c r="Q13" s="5"/>
    </row>
    <row r="14" spans="1:17" ht="18.75" x14ac:dyDescent="0.3">
      <c r="A14" s="105" t="s">
        <v>113</v>
      </c>
      <c r="B14" s="105"/>
      <c r="C14" s="105"/>
      <c r="D14" s="105"/>
      <c r="E14" s="106"/>
      <c r="F14" s="108"/>
      <c r="G14" s="107"/>
      <c r="H14" s="14"/>
      <c r="I14" s="14"/>
      <c r="J14" s="15"/>
    </row>
    <row r="15" spans="1:17" s="16" customFormat="1" ht="18.75" x14ac:dyDescent="0.3">
      <c r="A15" s="14" t="s">
        <v>357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17" s="16" customFormat="1" ht="18.75" x14ac:dyDescent="0.3">
      <c r="A16" s="14" t="s">
        <v>358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36</v>
      </c>
      <c r="B17" s="17"/>
      <c r="C17" s="18">
        <f>E14</f>
        <v>0</v>
      </c>
      <c r="D17" s="18" t="s">
        <v>15</v>
      </c>
      <c r="E17" s="18">
        <f>F13</f>
        <v>0</v>
      </c>
      <c r="F17" s="17" t="s">
        <v>16</v>
      </c>
      <c r="G17" s="17"/>
      <c r="I17" s="95">
        <f>(10*C17*E17)/1000</f>
        <v>0</v>
      </c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359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360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615</v>
      </c>
      <c r="B20" s="17"/>
      <c r="C20" s="18">
        <f>E14</f>
        <v>0</v>
      </c>
      <c r="D20" s="18" t="s">
        <v>15</v>
      </c>
      <c r="E20" s="18">
        <f>F13</f>
        <v>0</v>
      </c>
      <c r="F20" s="17" t="s">
        <v>16</v>
      </c>
      <c r="G20" s="17"/>
      <c r="I20" s="95">
        <f>(11.5*C20*E20)/1000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s="19" customFormat="1" ht="19.5" x14ac:dyDescent="0.35">
      <c r="A21" s="17"/>
      <c r="B21" s="17"/>
      <c r="C21" s="18"/>
      <c r="D21" s="18"/>
      <c r="E21" s="18"/>
      <c r="F21" s="17"/>
      <c r="G21" s="17"/>
      <c r="I21" s="20"/>
      <c r="J21" s="17"/>
      <c r="K21" s="17"/>
      <c r="L21" s="21"/>
      <c r="M21" s="21"/>
      <c r="N21" s="21"/>
      <c r="O21" s="21"/>
      <c r="P21" s="21"/>
      <c r="Q21" s="23"/>
    </row>
    <row r="22" spans="1:17" ht="18.75" x14ac:dyDescent="0.3">
      <c r="A22" s="50" t="s">
        <v>377</v>
      </c>
      <c r="B22" s="52"/>
      <c r="C22" s="52"/>
      <c r="D22" s="52"/>
      <c r="Q22" s="5"/>
    </row>
    <row r="23" spans="1:17" ht="18.75" x14ac:dyDescent="0.3">
      <c r="A23" s="50" t="s">
        <v>380</v>
      </c>
      <c r="B23" s="52"/>
      <c r="C23" s="52"/>
      <c r="D23" s="52"/>
      <c r="Q23" s="5"/>
    </row>
    <row r="24" spans="1:17" ht="15.75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2"/>
    </row>
    <row r="25" spans="1:17" ht="18.75" x14ac:dyDescent="0.3">
      <c r="A25" s="105" t="s">
        <v>113</v>
      </c>
      <c r="B25" s="105"/>
      <c r="C25" s="105"/>
      <c r="D25" s="105"/>
      <c r="E25" s="106"/>
      <c r="F25" s="108"/>
      <c r="G25" s="107"/>
      <c r="H25" s="14"/>
      <c r="I25" s="14"/>
      <c r="J25" s="15"/>
    </row>
    <row r="26" spans="1:17" s="16" customFormat="1" ht="18.75" x14ac:dyDescent="0.3">
      <c r="A26" s="14" t="s">
        <v>363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</row>
    <row r="27" spans="1:17" s="16" customFormat="1" ht="18.75" x14ac:dyDescent="0.3">
      <c r="A27" s="14" t="s">
        <v>364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</row>
    <row r="28" spans="1:17" s="19" customFormat="1" ht="19.5" x14ac:dyDescent="0.35">
      <c r="A28" s="17" t="s">
        <v>38</v>
      </c>
      <c r="B28" s="17"/>
      <c r="C28" s="18">
        <f>E25</f>
        <v>0</v>
      </c>
      <c r="D28" s="18" t="s">
        <v>15</v>
      </c>
      <c r="E28" s="18">
        <f>F13</f>
        <v>0</v>
      </c>
      <c r="F28" s="17" t="s">
        <v>16</v>
      </c>
      <c r="G28" s="17"/>
      <c r="I28" s="95">
        <f>(50*C28*E28)/1000</f>
        <v>0</v>
      </c>
      <c r="J28" s="17" t="s">
        <v>65</v>
      </c>
      <c r="K28" s="17"/>
      <c r="L28" s="21"/>
      <c r="M28" s="21"/>
      <c r="N28" s="21"/>
      <c r="Q28" s="22"/>
    </row>
    <row r="29" spans="1:17" s="16" customFormat="1" ht="18.75" x14ac:dyDescent="0.3">
      <c r="A29" s="14" t="s">
        <v>365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</row>
    <row r="30" spans="1:17" s="16" customFormat="1" ht="18.75" x14ac:dyDescent="0.3">
      <c r="A30" s="14" t="s">
        <v>366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</row>
    <row r="31" spans="1:17" s="19" customFormat="1" ht="19.5" x14ac:dyDescent="0.35">
      <c r="A31" s="17" t="s">
        <v>279</v>
      </c>
      <c r="B31" s="17"/>
      <c r="C31" s="18">
        <f>E25</f>
        <v>0</v>
      </c>
      <c r="D31" s="18" t="s">
        <v>15</v>
      </c>
      <c r="E31" s="18">
        <f>F13</f>
        <v>0</v>
      </c>
      <c r="F31" s="17" t="s">
        <v>16</v>
      </c>
      <c r="G31" s="17"/>
      <c r="I31" s="95">
        <f>(25*C31*E31)/1000</f>
        <v>0</v>
      </c>
      <c r="J31" s="17" t="s">
        <v>66</v>
      </c>
      <c r="K31" s="17"/>
      <c r="L31" s="21"/>
      <c r="M31" s="21"/>
      <c r="N31" s="21"/>
      <c r="O31" s="21"/>
      <c r="P31" s="21"/>
      <c r="Q31" s="23"/>
    </row>
    <row r="32" spans="1:17" s="19" customFormat="1" ht="19.5" x14ac:dyDescent="0.35">
      <c r="A32" s="17"/>
      <c r="B32" s="17"/>
      <c r="C32" s="18"/>
      <c r="D32" s="18"/>
      <c r="E32" s="18"/>
      <c r="F32" s="17"/>
      <c r="G32" s="17"/>
      <c r="I32" s="20"/>
      <c r="J32" s="17"/>
      <c r="K32" s="17"/>
      <c r="L32" s="21"/>
      <c r="M32" s="21"/>
      <c r="N32" s="21"/>
      <c r="O32" s="21"/>
      <c r="P32" s="21"/>
      <c r="Q32" s="23"/>
    </row>
    <row r="33" spans="1:17" ht="18.75" x14ac:dyDescent="0.3">
      <c r="A33" s="50" t="s">
        <v>367</v>
      </c>
      <c r="B33" s="52"/>
      <c r="C33" s="52"/>
      <c r="D33" s="52"/>
      <c r="Q33" s="5"/>
    </row>
    <row r="34" spans="1:17" ht="18.75" x14ac:dyDescent="0.3">
      <c r="A34" s="50" t="s">
        <v>361</v>
      </c>
      <c r="B34" s="52"/>
      <c r="C34" s="52"/>
      <c r="D34" s="52"/>
      <c r="Q34" s="5"/>
    </row>
    <row r="35" spans="1:17" ht="18.75" x14ac:dyDescent="0.3">
      <c r="A35" s="50"/>
      <c r="B35" s="52"/>
      <c r="C35" s="52"/>
      <c r="D35" s="52"/>
      <c r="Q35" s="5"/>
    </row>
    <row r="36" spans="1:17" ht="18.75" x14ac:dyDescent="0.3">
      <c r="A36" s="105" t="s">
        <v>113</v>
      </c>
      <c r="B36" s="105"/>
      <c r="C36" s="105"/>
      <c r="D36" s="105"/>
      <c r="E36" s="106"/>
      <c r="F36" s="108"/>
      <c r="G36" s="107"/>
      <c r="H36" s="14"/>
      <c r="I36" s="14"/>
      <c r="J36" s="15"/>
    </row>
    <row r="37" spans="1:17" s="16" customFormat="1" ht="18.75" x14ac:dyDescent="0.3">
      <c r="A37" s="14" t="s">
        <v>368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</row>
    <row r="38" spans="1:17" s="16" customFormat="1" ht="18.75" x14ac:dyDescent="0.3">
      <c r="A38" s="14" t="s">
        <v>369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</row>
    <row r="39" spans="1:17" s="19" customFormat="1" ht="19.5" x14ac:dyDescent="0.35">
      <c r="A39" s="17" t="s">
        <v>370</v>
      </c>
      <c r="B39" s="17"/>
      <c r="C39" s="18">
        <f>E36</f>
        <v>0</v>
      </c>
      <c r="D39" s="18" t="s">
        <v>15</v>
      </c>
      <c r="E39" s="18">
        <f>F13</f>
        <v>0</v>
      </c>
      <c r="F39" s="17" t="s">
        <v>16</v>
      </c>
      <c r="G39" s="17"/>
      <c r="I39" s="95">
        <f>(17.6*C39*E39)/1000</f>
        <v>0</v>
      </c>
      <c r="J39" s="17" t="s">
        <v>65</v>
      </c>
      <c r="K39" s="17"/>
      <c r="L39" s="21"/>
      <c r="M39" s="21"/>
      <c r="N39" s="21"/>
      <c r="Q39" s="22"/>
    </row>
    <row r="40" spans="1:17" s="16" customFormat="1" ht="18.75" x14ac:dyDescent="0.3">
      <c r="A40" s="14" t="s">
        <v>371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</row>
    <row r="41" spans="1:17" s="16" customFormat="1" ht="18.75" x14ac:dyDescent="0.3">
      <c r="A41" s="14" t="s">
        <v>372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5"/>
    </row>
    <row r="42" spans="1:17" s="19" customFormat="1" ht="19.5" x14ac:dyDescent="0.35">
      <c r="A42" s="17" t="s">
        <v>616</v>
      </c>
      <c r="B42" s="17"/>
      <c r="C42" s="18">
        <f>E36</f>
        <v>0</v>
      </c>
      <c r="D42" s="18" t="s">
        <v>15</v>
      </c>
      <c r="E42" s="18">
        <f>F13</f>
        <v>0</v>
      </c>
      <c r="F42" s="17" t="s">
        <v>16</v>
      </c>
      <c r="G42" s="17"/>
      <c r="I42" s="95">
        <f>(21.4*C42*E42)/1000</f>
        <v>0</v>
      </c>
      <c r="J42" s="17" t="s">
        <v>66</v>
      </c>
      <c r="K42" s="17"/>
      <c r="L42" s="21"/>
      <c r="M42" s="21"/>
      <c r="N42" s="21"/>
      <c r="O42" s="21"/>
      <c r="P42" s="21"/>
      <c r="Q42" s="23"/>
    </row>
    <row r="43" spans="1:17" s="19" customFormat="1" ht="19.5" x14ac:dyDescent="0.35">
      <c r="A43" s="17"/>
      <c r="B43" s="17"/>
      <c r="C43" s="18"/>
      <c r="D43" s="18"/>
      <c r="E43" s="18"/>
      <c r="F43" s="17"/>
      <c r="G43" s="17"/>
      <c r="I43" s="20"/>
      <c r="J43" s="17"/>
      <c r="K43" s="17"/>
      <c r="L43" s="21"/>
      <c r="M43" s="21"/>
      <c r="N43" s="21"/>
      <c r="O43" s="21"/>
      <c r="P43" s="21"/>
      <c r="Q43" s="23"/>
    </row>
    <row r="44" spans="1:17" ht="18.75" x14ac:dyDescent="0.3">
      <c r="A44" s="50" t="s">
        <v>381</v>
      </c>
      <c r="B44" s="52"/>
      <c r="C44" s="52"/>
      <c r="D44" s="52"/>
      <c r="Q44" s="5"/>
    </row>
    <row r="45" spans="1:17" ht="18.75" x14ac:dyDescent="0.3">
      <c r="A45" s="50" t="s">
        <v>378</v>
      </c>
      <c r="B45" s="52"/>
      <c r="C45" s="52"/>
      <c r="D45" s="52"/>
      <c r="Q45" s="5"/>
    </row>
    <row r="46" spans="1:17" ht="18.75" x14ac:dyDescent="0.3">
      <c r="A46" s="50"/>
      <c r="B46" s="52"/>
      <c r="C46" s="52"/>
      <c r="D46" s="52"/>
      <c r="Q46" s="5"/>
    </row>
    <row r="47" spans="1:17" ht="18.75" x14ac:dyDescent="0.3">
      <c r="A47" s="105" t="s">
        <v>113</v>
      </c>
      <c r="B47" s="105"/>
      <c r="C47" s="105"/>
      <c r="D47" s="115"/>
      <c r="E47" s="106"/>
      <c r="F47" s="108"/>
      <c r="G47" s="107"/>
      <c r="H47" s="14"/>
      <c r="I47" s="14"/>
      <c r="J47" s="15"/>
    </row>
    <row r="48" spans="1:17" s="16" customFormat="1" ht="18.75" x14ac:dyDescent="0.3">
      <c r="A48" s="14" t="s">
        <v>373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/>
    </row>
    <row r="49" spans="1:17" s="16" customFormat="1" ht="18.75" x14ac:dyDescent="0.3">
      <c r="A49" s="14" t="s">
        <v>374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</row>
    <row r="50" spans="1:17" s="19" customFormat="1" ht="19.5" x14ac:dyDescent="0.35">
      <c r="A50" s="17" t="s">
        <v>617</v>
      </c>
      <c r="B50" s="17"/>
      <c r="C50" s="18">
        <f>E47</f>
        <v>0</v>
      </c>
      <c r="D50" s="18" t="s">
        <v>15</v>
      </c>
      <c r="E50" s="18">
        <f>F13</f>
        <v>0</v>
      </c>
      <c r="F50" s="17" t="s">
        <v>16</v>
      </c>
      <c r="G50" s="17"/>
      <c r="I50" s="95">
        <f>(64.5*C50*E50)/1000</f>
        <v>0</v>
      </c>
      <c r="J50" s="17" t="s">
        <v>65</v>
      </c>
      <c r="K50" s="17"/>
      <c r="L50" s="21"/>
      <c r="M50" s="21"/>
      <c r="N50" s="21"/>
      <c r="Q50" s="22"/>
    </row>
    <row r="51" spans="1:17" s="16" customFormat="1" ht="18.75" x14ac:dyDescent="0.3">
      <c r="A51" s="14" t="s">
        <v>375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5"/>
    </row>
    <row r="52" spans="1:17" s="16" customFormat="1" ht="18.75" x14ac:dyDescent="0.3">
      <c r="A52" s="14" t="s">
        <v>376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5"/>
    </row>
    <row r="53" spans="1:17" s="19" customFormat="1" ht="19.5" x14ac:dyDescent="0.35">
      <c r="A53" s="17" t="s">
        <v>618</v>
      </c>
      <c r="B53" s="17"/>
      <c r="C53" s="18">
        <f>E47</f>
        <v>0</v>
      </c>
      <c r="D53" s="18" t="s">
        <v>15</v>
      </c>
      <c r="E53" s="18">
        <f>F13</f>
        <v>0</v>
      </c>
      <c r="F53" s="17" t="s">
        <v>16</v>
      </c>
      <c r="G53" s="17"/>
      <c r="I53" s="95">
        <f>(28.5*C53*E53)/1000</f>
        <v>0</v>
      </c>
      <c r="J53" s="17" t="s">
        <v>66</v>
      </c>
      <c r="K53" s="17"/>
      <c r="L53" s="21"/>
      <c r="M53" s="21"/>
      <c r="N53" s="21"/>
      <c r="O53" s="21"/>
      <c r="P53" s="21"/>
      <c r="Q53" s="23"/>
    </row>
    <row r="54" spans="1:17" x14ac:dyDescent="0.2">
      <c r="Q54" s="5"/>
    </row>
    <row r="56" spans="1:17" ht="18.75" x14ac:dyDescent="0.3">
      <c r="A56" s="102" t="s">
        <v>60</v>
      </c>
      <c r="B56" s="102"/>
      <c r="C56" s="102"/>
      <c r="D56" s="102"/>
      <c r="E56" s="104">
        <f>I17+I20+I28+I31+I39+I42+I50+I53</f>
        <v>0</v>
      </c>
      <c r="F56" s="104"/>
      <c r="G56" s="104"/>
      <c r="H56" s="104"/>
      <c r="I56" s="103" t="s">
        <v>27</v>
      </c>
      <c r="J56" s="103"/>
      <c r="K56" s="103"/>
      <c r="L56" s="103"/>
    </row>
    <row r="57" spans="1:17" ht="18.75" x14ac:dyDescent="0.3">
      <c r="A57" s="26" t="s">
        <v>8</v>
      </c>
    </row>
    <row r="58" spans="1:17" ht="18.75" x14ac:dyDescent="0.3">
      <c r="A58" s="26" t="s">
        <v>149</v>
      </c>
      <c r="Q58" s="5"/>
    </row>
    <row r="59" spans="1:17" ht="12" customHeight="1" x14ac:dyDescent="0.3">
      <c r="A59" s="27"/>
    </row>
    <row r="60" spans="1:17" ht="18.75" x14ac:dyDescent="0.3">
      <c r="A60" s="26" t="s">
        <v>9</v>
      </c>
    </row>
    <row r="61" spans="1:17" ht="18.75" x14ac:dyDescent="0.3">
      <c r="A61" s="26"/>
    </row>
    <row r="62" spans="1:17" ht="18.75" x14ac:dyDescent="0.3">
      <c r="A62" s="26" t="s">
        <v>10</v>
      </c>
    </row>
  </sheetData>
  <sheetProtection password="CA9C" sheet="1" objects="1" scenarios="1"/>
  <protectedRanges>
    <protectedRange sqref="A4 G6 J6 J8 J10 F13 A10:P10 E25 E36 E47" name="Диапазон1"/>
  </protectedRanges>
  <mergeCells count="23">
    <mergeCell ref="I56:L56"/>
    <mergeCell ref="A56:D56"/>
    <mergeCell ref="E56:H56"/>
    <mergeCell ref="E25:G25"/>
    <mergeCell ref="A25:D25"/>
    <mergeCell ref="A36:D36"/>
    <mergeCell ref="E36:G36"/>
    <mergeCell ref="A47:D47"/>
    <mergeCell ref="A1:P1"/>
    <mergeCell ref="A2:P2"/>
    <mergeCell ref="A3:P3"/>
    <mergeCell ref="A4:P4"/>
    <mergeCell ref="J6:M6"/>
    <mergeCell ref="A5:P5"/>
    <mergeCell ref="C6:F6"/>
    <mergeCell ref="G6:H6"/>
    <mergeCell ref="A8:I8"/>
    <mergeCell ref="J8:P8"/>
    <mergeCell ref="E47:G47"/>
    <mergeCell ref="A13:E13"/>
    <mergeCell ref="F13:H13"/>
    <mergeCell ref="A14:D14"/>
    <mergeCell ref="E14:G1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97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3">
    <pageSetUpPr fitToPage="1"/>
  </sheetPr>
  <dimension ref="A1:Q69"/>
  <sheetViews>
    <sheetView topLeftCell="A49" zoomScaleNormal="100" workbookViewId="0">
      <selection activeCell="F13" sqref="F13:H13"/>
    </sheetView>
  </sheetViews>
  <sheetFormatPr defaultRowHeight="12.75" x14ac:dyDescent="0.2"/>
  <cols>
    <col min="1" max="1" width="5.140625" style="5" customWidth="1"/>
    <col min="2" max="2" width="7.4257812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9.140625" style="5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7.140625" style="5" customWidth="1"/>
    <col min="19" max="19" width="2.5703125" style="5" customWidth="1"/>
    <col min="20" max="24" width="8.28515625" style="5" customWidth="1"/>
    <col min="25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</row>
    <row r="3" spans="1:17" ht="18.75" customHeight="1" x14ac:dyDescent="0.3">
      <c r="A3" s="124" t="s">
        <v>382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1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</row>
    <row r="7" spans="1:17" ht="14.25" customHeight="1" x14ac:dyDescent="0.3">
      <c r="A7" s="10"/>
    </row>
    <row r="8" spans="1:17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1:1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</row>
    <row r="11" spans="1:1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8.75" x14ac:dyDescent="0.3">
      <c r="A12" s="33" t="s">
        <v>383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2"/>
    </row>
    <row r="13" spans="1:17" ht="18.75" x14ac:dyDescent="0.3">
      <c r="A13" s="105" t="s">
        <v>64</v>
      </c>
      <c r="B13" s="105"/>
      <c r="C13" s="105"/>
      <c r="D13" s="105"/>
      <c r="E13" s="105"/>
      <c r="F13" s="106"/>
      <c r="G13" s="108"/>
      <c r="H13" s="107"/>
      <c r="I13" s="15" t="s">
        <v>69</v>
      </c>
      <c r="J13" s="19"/>
      <c r="K13" s="19"/>
      <c r="L13" s="19"/>
      <c r="M13" s="19"/>
      <c r="N13" s="19"/>
      <c r="O13" s="19"/>
      <c r="P13" s="19"/>
      <c r="Q13" s="22"/>
    </row>
    <row r="14" spans="1:17" ht="18.75" x14ac:dyDescent="0.3">
      <c r="A14" s="105" t="s">
        <v>115</v>
      </c>
      <c r="B14" s="105"/>
      <c r="C14" s="105"/>
      <c r="D14" s="105"/>
      <c r="E14" s="105"/>
      <c r="F14" s="106"/>
      <c r="G14" s="108"/>
      <c r="H14" s="107"/>
      <c r="I14" s="14"/>
      <c r="J14" s="15"/>
    </row>
    <row r="15" spans="1:17" s="16" customFormat="1" ht="18.75" x14ac:dyDescent="0.3">
      <c r="A15" s="14" t="s">
        <v>384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17" s="16" customFormat="1" ht="18.75" x14ac:dyDescent="0.3">
      <c r="A16" s="14" t="s">
        <v>385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38</v>
      </c>
      <c r="B17" s="17"/>
      <c r="C17" s="18">
        <f>F14</f>
        <v>0</v>
      </c>
      <c r="D17" s="18" t="s">
        <v>15</v>
      </c>
      <c r="E17" s="18">
        <f>F13</f>
        <v>0</v>
      </c>
      <c r="F17" s="17" t="s">
        <v>16</v>
      </c>
      <c r="G17" s="17"/>
      <c r="I17" s="95">
        <f>(50*C17*E17)/1000</f>
        <v>0</v>
      </c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386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387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388</v>
      </c>
      <c r="B20" s="17"/>
      <c r="C20" s="18">
        <f>F14</f>
        <v>0</v>
      </c>
      <c r="D20" s="18" t="s">
        <v>15</v>
      </c>
      <c r="E20" s="18">
        <f>F13</f>
        <v>0</v>
      </c>
      <c r="F20" s="17" t="s">
        <v>16</v>
      </c>
      <c r="G20" s="17"/>
      <c r="I20" s="95">
        <f>(70*C20*E20)/1000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x14ac:dyDescent="0.2">
      <c r="Q21" s="5"/>
    </row>
    <row r="22" spans="1:17" ht="18.75" x14ac:dyDescent="0.3">
      <c r="A22" s="33" t="s">
        <v>389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2"/>
    </row>
    <row r="23" spans="1:17" ht="18.75" x14ac:dyDescent="0.3">
      <c r="A23" s="105" t="s">
        <v>115</v>
      </c>
      <c r="B23" s="105"/>
      <c r="C23" s="105"/>
      <c r="D23" s="105"/>
      <c r="E23" s="105"/>
      <c r="F23" s="106"/>
      <c r="G23" s="108"/>
      <c r="H23" s="107"/>
      <c r="I23" s="14"/>
      <c r="J23" s="15"/>
    </row>
    <row r="24" spans="1:17" s="16" customFormat="1" ht="18.75" x14ac:dyDescent="0.3">
      <c r="A24" s="14" t="s">
        <v>390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</row>
    <row r="25" spans="1:17" s="16" customFormat="1" ht="18.75" x14ac:dyDescent="0.3">
      <c r="A25" s="14" t="s">
        <v>391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s="19" customFormat="1" ht="19.5" x14ac:dyDescent="0.35">
      <c r="A26" s="17" t="s">
        <v>177</v>
      </c>
      <c r="B26" s="17"/>
      <c r="C26" s="18">
        <f>F23</f>
        <v>0</v>
      </c>
      <c r="D26" s="18" t="s">
        <v>15</v>
      </c>
      <c r="E26" s="18">
        <f>F13</f>
        <v>0</v>
      </c>
      <c r="F26" s="17" t="s">
        <v>16</v>
      </c>
      <c r="G26" s="17"/>
      <c r="I26" s="95">
        <f>(90*C26*E26)/1000</f>
        <v>0</v>
      </c>
      <c r="J26" s="17" t="s">
        <v>65</v>
      </c>
      <c r="K26" s="17"/>
      <c r="L26" s="21"/>
      <c r="M26" s="21"/>
      <c r="N26" s="21"/>
      <c r="Q26" s="22"/>
    </row>
    <row r="27" spans="1:17" s="16" customFormat="1" ht="18.75" x14ac:dyDescent="0.3">
      <c r="A27" s="14" t="s">
        <v>392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</row>
    <row r="28" spans="1:17" s="16" customFormat="1" ht="18.75" x14ac:dyDescent="0.3">
      <c r="A28" s="14" t="s">
        <v>393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/>
    </row>
    <row r="29" spans="1:17" s="19" customFormat="1" ht="19.5" x14ac:dyDescent="0.35">
      <c r="A29" s="17" t="s">
        <v>394</v>
      </c>
      <c r="B29" s="17"/>
      <c r="C29" s="18">
        <f>F23</f>
        <v>0</v>
      </c>
      <c r="D29" s="18" t="s">
        <v>15</v>
      </c>
      <c r="E29" s="18">
        <f>F13</f>
        <v>0</v>
      </c>
      <c r="F29" s="17" t="s">
        <v>16</v>
      </c>
      <c r="G29" s="17"/>
      <c r="I29" s="95">
        <f>(140*C29*E29)/1000</f>
        <v>0</v>
      </c>
      <c r="J29" s="17" t="s">
        <v>66</v>
      </c>
      <c r="K29" s="17"/>
      <c r="L29" s="21"/>
      <c r="M29" s="21"/>
      <c r="N29" s="21"/>
      <c r="O29" s="21"/>
      <c r="P29" s="21"/>
      <c r="Q29" s="23"/>
    </row>
    <row r="30" spans="1:17" s="19" customFormat="1" ht="19.5" x14ac:dyDescent="0.35">
      <c r="A30" s="17"/>
      <c r="B30" s="17"/>
      <c r="C30" s="18"/>
      <c r="D30" s="18"/>
      <c r="E30" s="18"/>
      <c r="F30" s="17"/>
      <c r="G30" s="17"/>
      <c r="I30" s="20"/>
      <c r="J30" s="17"/>
      <c r="K30" s="17"/>
      <c r="L30" s="21"/>
      <c r="M30" s="21"/>
      <c r="N30" s="21"/>
      <c r="O30" s="21"/>
      <c r="P30" s="21"/>
      <c r="Q30" s="23"/>
    </row>
    <row r="31" spans="1:17" ht="18.75" x14ac:dyDescent="0.3">
      <c r="A31" s="33" t="s">
        <v>396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</row>
    <row r="32" spans="1:17" ht="18.75" x14ac:dyDescent="0.3">
      <c r="A32" s="33" t="s">
        <v>395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2"/>
    </row>
    <row r="33" spans="1:17" ht="18.75" x14ac:dyDescent="0.3">
      <c r="A33" s="33" t="s">
        <v>397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</row>
    <row r="34" spans="1:17" ht="18.75" x14ac:dyDescent="0.3">
      <c r="A34" s="33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2"/>
    </row>
    <row r="35" spans="1:17" ht="18.75" x14ac:dyDescent="0.3">
      <c r="A35" s="105" t="s">
        <v>115</v>
      </c>
      <c r="B35" s="105"/>
      <c r="C35" s="105"/>
      <c r="D35" s="105"/>
      <c r="E35" s="105"/>
      <c r="F35" s="106"/>
      <c r="G35" s="108"/>
      <c r="H35" s="107"/>
      <c r="I35" s="14"/>
      <c r="J35" s="15"/>
    </row>
    <row r="36" spans="1:17" s="16" customFormat="1" ht="18.75" x14ac:dyDescent="0.3">
      <c r="A36" s="14" t="s">
        <v>398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</row>
    <row r="37" spans="1:17" s="16" customFormat="1" ht="18.75" x14ac:dyDescent="0.3">
      <c r="A37" s="14" t="s">
        <v>399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</row>
    <row r="38" spans="1:17" s="19" customFormat="1" ht="19.5" x14ac:dyDescent="0.35">
      <c r="A38" s="17" t="s">
        <v>400</v>
      </c>
      <c r="B38" s="17"/>
      <c r="C38" s="18">
        <f>F35</f>
        <v>0</v>
      </c>
      <c r="D38" s="18" t="s">
        <v>15</v>
      </c>
      <c r="E38" s="18">
        <f>F13</f>
        <v>0</v>
      </c>
      <c r="F38" s="17" t="s">
        <v>16</v>
      </c>
      <c r="G38" s="17"/>
      <c r="I38" s="95">
        <f>(100*C38*E38)/1000</f>
        <v>0</v>
      </c>
      <c r="J38" s="17" t="s">
        <v>65</v>
      </c>
      <c r="K38" s="17"/>
      <c r="L38" s="21"/>
      <c r="M38" s="21"/>
      <c r="N38" s="21"/>
      <c r="Q38" s="22"/>
    </row>
    <row r="39" spans="1:17" s="16" customFormat="1" ht="18.75" x14ac:dyDescent="0.3">
      <c r="A39" s="14" t="s">
        <v>401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</row>
    <row r="40" spans="1:17" s="16" customFormat="1" ht="18.75" x14ac:dyDescent="0.3">
      <c r="A40" s="14" t="s">
        <v>402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</row>
    <row r="41" spans="1:17" s="19" customFormat="1" ht="19.5" x14ac:dyDescent="0.35">
      <c r="A41" s="17" t="s">
        <v>46</v>
      </c>
      <c r="B41" s="17"/>
      <c r="C41" s="18">
        <f>F35</f>
        <v>0</v>
      </c>
      <c r="D41" s="18" t="s">
        <v>15</v>
      </c>
      <c r="E41" s="18">
        <f>F13</f>
        <v>0</v>
      </c>
      <c r="F41" s="17" t="s">
        <v>16</v>
      </c>
      <c r="G41" s="17"/>
      <c r="I41" s="95">
        <f>(100*C41*E41)/1000</f>
        <v>0</v>
      </c>
      <c r="J41" s="17" t="s">
        <v>66</v>
      </c>
      <c r="K41" s="17"/>
      <c r="L41" s="21"/>
      <c r="M41" s="21"/>
      <c r="N41" s="21"/>
      <c r="O41" s="21"/>
      <c r="P41" s="21"/>
      <c r="Q41" s="23"/>
    </row>
    <row r="42" spans="1:17" s="19" customFormat="1" ht="19.5" x14ac:dyDescent="0.35">
      <c r="A42" s="17"/>
      <c r="B42" s="17"/>
      <c r="C42" s="18"/>
      <c r="D42" s="18"/>
      <c r="E42" s="18"/>
      <c r="F42" s="17"/>
      <c r="G42" s="17"/>
      <c r="I42" s="20"/>
      <c r="J42" s="17"/>
      <c r="K42" s="17"/>
      <c r="L42" s="21"/>
      <c r="M42" s="21"/>
      <c r="N42" s="21"/>
      <c r="O42" s="21"/>
      <c r="P42" s="21"/>
      <c r="Q42" s="23"/>
    </row>
    <row r="43" spans="1:17" ht="18.75" x14ac:dyDescent="0.3">
      <c r="A43" s="33" t="s">
        <v>403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22"/>
    </row>
    <row r="44" spans="1:17" ht="18.75" x14ac:dyDescent="0.3">
      <c r="A44" s="33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22"/>
    </row>
    <row r="45" spans="1:17" ht="18.75" x14ac:dyDescent="0.3">
      <c r="A45" s="105" t="s">
        <v>115</v>
      </c>
      <c r="B45" s="105"/>
      <c r="C45" s="105"/>
      <c r="D45" s="105"/>
      <c r="E45" s="105"/>
      <c r="F45" s="106"/>
      <c r="G45" s="108"/>
      <c r="H45" s="107"/>
      <c r="I45" s="14"/>
      <c r="J45" s="15"/>
    </row>
    <row r="46" spans="1:17" s="16" customFormat="1" ht="18.75" x14ac:dyDescent="0.3">
      <c r="A46" s="14" t="s">
        <v>398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5"/>
    </row>
    <row r="47" spans="1:17" s="16" customFormat="1" ht="18.75" x14ac:dyDescent="0.3">
      <c r="A47" s="14" t="s">
        <v>399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5"/>
    </row>
    <row r="48" spans="1:17" s="19" customFormat="1" ht="19.5" x14ac:dyDescent="0.35">
      <c r="A48" s="17" t="s">
        <v>400</v>
      </c>
      <c r="B48" s="17"/>
      <c r="C48" s="18">
        <f>F45</f>
        <v>0</v>
      </c>
      <c r="D48" s="18" t="s">
        <v>15</v>
      </c>
      <c r="E48" s="18">
        <f>F13</f>
        <v>0</v>
      </c>
      <c r="F48" s="17" t="s">
        <v>16</v>
      </c>
      <c r="G48" s="17"/>
      <c r="I48" s="95">
        <f>(100*C48*E48)/1000</f>
        <v>0</v>
      </c>
      <c r="J48" s="17" t="s">
        <v>65</v>
      </c>
      <c r="K48" s="17"/>
      <c r="L48" s="21"/>
      <c r="M48" s="21"/>
      <c r="N48" s="21"/>
      <c r="Q48" s="22"/>
    </row>
    <row r="49" spans="1:17" s="16" customFormat="1" ht="18.75" x14ac:dyDescent="0.3">
      <c r="A49" s="14" t="s">
        <v>116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5"/>
    </row>
    <row r="50" spans="1:17" s="16" customFormat="1" ht="18.75" x14ac:dyDescent="0.3">
      <c r="A50" s="14" t="s">
        <v>117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5"/>
    </row>
    <row r="51" spans="1:17" s="19" customFormat="1" ht="19.5" x14ac:dyDescent="0.35">
      <c r="A51" s="17" t="s">
        <v>40</v>
      </c>
      <c r="B51" s="17"/>
      <c r="C51" s="18">
        <f>F45</f>
        <v>0</v>
      </c>
      <c r="D51" s="18" t="s">
        <v>15</v>
      </c>
      <c r="E51" s="18">
        <f>F13</f>
        <v>0</v>
      </c>
      <c r="F51" s="17" t="s">
        <v>16</v>
      </c>
      <c r="G51" s="17"/>
      <c r="I51" s="95">
        <f>(150*C51*E51)/1000</f>
        <v>0</v>
      </c>
      <c r="J51" s="17" t="s">
        <v>66</v>
      </c>
      <c r="K51" s="17"/>
      <c r="L51" s="21"/>
      <c r="M51" s="21"/>
      <c r="N51" s="21"/>
      <c r="O51" s="21"/>
      <c r="P51" s="21"/>
      <c r="Q51" s="23"/>
    </row>
    <row r="52" spans="1:17" s="19" customFormat="1" ht="19.5" x14ac:dyDescent="0.35">
      <c r="A52" s="17"/>
      <c r="B52" s="17"/>
      <c r="C52" s="18"/>
      <c r="D52" s="18"/>
      <c r="E52" s="18"/>
      <c r="F52" s="17"/>
      <c r="G52" s="17"/>
      <c r="I52" s="20"/>
      <c r="J52" s="17"/>
      <c r="K52" s="17"/>
      <c r="L52" s="21"/>
      <c r="M52" s="21"/>
      <c r="N52" s="21"/>
      <c r="O52" s="21"/>
      <c r="P52" s="21"/>
      <c r="Q52" s="23"/>
    </row>
    <row r="53" spans="1:17" ht="18.75" x14ac:dyDescent="0.3">
      <c r="A53" s="33" t="s">
        <v>404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2"/>
    </row>
    <row r="54" spans="1:17" ht="18.75" x14ac:dyDescent="0.3">
      <c r="A54" s="33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22"/>
    </row>
    <row r="55" spans="1:17" ht="18.75" x14ac:dyDescent="0.3">
      <c r="A55" s="105" t="s">
        <v>115</v>
      </c>
      <c r="B55" s="105"/>
      <c r="C55" s="105"/>
      <c r="D55" s="105"/>
      <c r="E55" s="105"/>
      <c r="F55" s="106"/>
      <c r="G55" s="108"/>
      <c r="H55" s="107"/>
      <c r="I55" s="14"/>
      <c r="J55" s="15"/>
    </row>
    <row r="56" spans="1:17" s="16" customFormat="1" ht="18.75" x14ac:dyDescent="0.3">
      <c r="A56" s="14" t="s">
        <v>405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5"/>
    </row>
    <row r="57" spans="1:17" s="16" customFormat="1" ht="18.75" x14ac:dyDescent="0.3">
      <c r="A57" s="14" t="s">
        <v>406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5"/>
    </row>
    <row r="58" spans="1:17" s="19" customFormat="1" ht="19.5" x14ac:dyDescent="0.35">
      <c r="A58" s="17" t="s">
        <v>407</v>
      </c>
      <c r="B58" s="17"/>
      <c r="C58" s="18">
        <f>F55</f>
        <v>0</v>
      </c>
      <c r="D58" s="18" t="s">
        <v>15</v>
      </c>
      <c r="E58" s="18">
        <f>F13</f>
        <v>0</v>
      </c>
      <c r="F58" s="17" t="s">
        <v>16</v>
      </c>
      <c r="G58" s="17"/>
      <c r="I58" s="95">
        <f>(120*C58*E58)/1000</f>
        <v>0</v>
      </c>
      <c r="J58" s="17" t="s">
        <v>65</v>
      </c>
      <c r="K58" s="17"/>
      <c r="L58" s="21"/>
      <c r="M58" s="21"/>
      <c r="N58" s="21"/>
      <c r="Q58" s="22"/>
    </row>
    <row r="59" spans="1:17" s="16" customFormat="1" ht="18.75" x14ac:dyDescent="0.3">
      <c r="A59" s="14" t="s">
        <v>408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5"/>
    </row>
    <row r="60" spans="1:17" s="16" customFormat="1" ht="18.75" x14ac:dyDescent="0.3">
      <c r="A60" s="14" t="s">
        <v>409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</row>
    <row r="61" spans="1:17" s="19" customFormat="1" ht="19.5" x14ac:dyDescent="0.35">
      <c r="A61" s="17" t="s">
        <v>410</v>
      </c>
      <c r="B61" s="17"/>
      <c r="C61" s="18">
        <f>F55</f>
        <v>0</v>
      </c>
      <c r="D61" s="18" t="s">
        <v>15</v>
      </c>
      <c r="E61" s="18">
        <f>F13</f>
        <v>0</v>
      </c>
      <c r="F61" s="17" t="s">
        <v>16</v>
      </c>
      <c r="G61" s="17"/>
      <c r="I61" s="95">
        <f>(180*C61*E61)/1000</f>
        <v>0</v>
      </c>
      <c r="J61" s="17" t="s">
        <v>66</v>
      </c>
      <c r="K61" s="17"/>
      <c r="L61" s="21"/>
      <c r="M61" s="21"/>
      <c r="N61" s="21"/>
      <c r="O61" s="21"/>
      <c r="P61" s="21"/>
      <c r="Q61" s="23"/>
    </row>
    <row r="63" spans="1:17" ht="18.75" x14ac:dyDescent="0.3">
      <c r="A63" s="102" t="s">
        <v>60</v>
      </c>
      <c r="B63" s="102"/>
      <c r="C63" s="102"/>
      <c r="D63" s="102"/>
      <c r="E63" s="104">
        <f>I17+I20+I26+I29+I38+I41+I48+I51+I58+I61</f>
        <v>0</v>
      </c>
      <c r="F63" s="104"/>
      <c r="G63" s="104"/>
      <c r="H63" s="104"/>
      <c r="I63" s="103" t="s">
        <v>27</v>
      </c>
      <c r="J63" s="103"/>
      <c r="K63" s="103"/>
      <c r="L63" s="103"/>
    </row>
    <row r="64" spans="1:17" ht="18.75" x14ac:dyDescent="0.3">
      <c r="A64" s="26" t="s">
        <v>8</v>
      </c>
    </row>
    <row r="65" spans="1:17" ht="18.75" x14ac:dyDescent="0.3">
      <c r="A65" s="26" t="s">
        <v>149</v>
      </c>
      <c r="Q65" s="5"/>
    </row>
    <row r="66" spans="1:17" ht="12" customHeight="1" x14ac:dyDescent="0.3">
      <c r="A66" s="27"/>
    </row>
    <row r="67" spans="1:17" ht="18.75" x14ac:dyDescent="0.3">
      <c r="A67" s="26" t="s">
        <v>9</v>
      </c>
    </row>
    <row r="68" spans="1:17" ht="18.75" x14ac:dyDescent="0.3">
      <c r="A68" s="26"/>
    </row>
    <row r="69" spans="1:17" ht="18.75" x14ac:dyDescent="0.3">
      <c r="A69" s="26" t="s">
        <v>10</v>
      </c>
    </row>
  </sheetData>
  <sheetProtection sheet="1" objects="1" scenarios="1"/>
  <protectedRanges>
    <protectedRange sqref="A4 G6 J6 J8 A10 F13 F14 F23 F35 F45 F55" name="Диапазон1"/>
  </protectedRanges>
  <mergeCells count="26">
    <mergeCell ref="C6:F6"/>
    <mergeCell ref="G6:H6"/>
    <mergeCell ref="J6:M6"/>
    <mergeCell ref="A1:P1"/>
    <mergeCell ref="A2:P2"/>
    <mergeCell ref="A3:P3"/>
    <mergeCell ref="A4:P4"/>
    <mergeCell ref="A5:P5"/>
    <mergeCell ref="A8:I8"/>
    <mergeCell ref="A23:E23"/>
    <mergeCell ref="F23:H23"/>
    <mergeCell ref="J8:P8"/>
    <mergeCell ref="A10:P10"/>
    <mergeCell ref="F14:H14"/>
    <mergeCell ref="A14:E14"/>
    <mergeCell ref="A13:E13"/>
    <mergeCell ref="F13:H13"/>
    <mergeCell ref="A63:D63"/>
    <mergeCell ref="E63:H63"/>
    <mergeCell ref="I63:L63"/>
    <mergeCell ref="A35:E35"/>
    <mergeCell ref="F35:H35"/>
    <mergeCell ref="A45:E45"/>
    <mergeCell ref="F45:H45"/>
    <mergeCell ref="A55:E55"/>
    <mergeCell ref="F55:H55"/>
  </mergeCells>
  <phoneticPr fontId="0" type="noConversion"/>
  <pageMargins left="0.59055118110236227" right="0.19685039370078741" top="0.59055118110236227" bottom="0.59055118110236227" header="0.51181102362204722" footer="0.51181102362204722"/>
  <pageSetup paperSize="9" fitToHeight="0" orientation="portrait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4">
    <pageSetUpPr fitToPage="1"/>
  </sheetPr>
  <dimension ref="A1:Y34"/>
  <sheetViews>
    <sheetView zoomScaleNormal="100" workbookViewId="0">
      <selection activeCell="J12" sqref="J12:L12"/>
    </sheetView>
  </sheetViews>
  <sheetFormatPr defaultRowHeight="12.75" x14ac:dyDescent="0.2"/>
  <cols>
    <col min="1" max="1" width="5.140625" style="5" customWidth="1"/>
    <col min="2" max="2" width="7.4257812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4" style="5" customWidth="1"/>
    <col min="7" max="7" width="6.140625" style="5" customWidth="1"/>
    <col min="8" max="8" width="6" style="5" customWidth="1"/>
    <col min="9" max="9" width="5.140625" style="5" customWidth="1"/>
    <col min="10" max="10" width="7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6.5703125" style="5" customWidth="1"/>
    <col min="19" max="19" width="5.28515625" style="5" customWidth="1"/>
    <col min="20" max="24" width="6.570312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  <c r="R1" s="16"/>
      <c r="S1" s="16"/>
      <c r="T1" s="16"/>
      <c r="U1" s="16"/>
      <c r="V1" s="16"/>
      <c r="W1" s="16"/>
      <c r="X1" s="16"/>
      <c r="Y1" s="16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6"/>
      <c r="S2" s="16"/>
      <c r="T2" s="16"/>
      <c r="U2" s="16"/>
      <c r="V2" s="16"/>
      <c r="W2" s="16"/>
      <c r="X2" s="16"/>
      <c r="Y2" s="16"/>
    </row>
    <row r="3" spans="1:25" ht="18.75" customHeight="1" x14ac:dyDescent="0.3">
      <c r="A3" s="124" t="s">
        <v>417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6"/>
      <c r="S6" s="16"/>
      <c r="T6" s="16"/>
      <c r="U6" s="16"/>
      <c r="V6" s="16"/>
      <c r="W6" s="16"/>
      <c r="X6" s="16"/>
      <c r="Y6" s="16"/>
    </row>
    <row r="7" spans="1:25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6"/>
      <c r="S9" s="16"/>
      <c r="T9" s="16"/>
      <c r="U9" s="16"/>
      <c r="V9" s="16"/>
      <c r="W9" s="16"/>
      <c r="X9" s="16"/>
      <c r="Y9" s="16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</row>
    <row r="12" spans="1:25" ht="18.75" x14ac:dyDescent="0.3">
      <c r="A12" s="105" t="s">
        <v>136</v>
      </c>
      <c r="B12" s="105"/>
      <c r="C12" s="105"/>
      <c r="D12" s="105"/>
      <c r="E12" s="105"/>
      <c r="F12" s="105"/>
      <c r="G12" s="105"/>
      <c r="H12" s="105"/>
      <c r="I12" s="105"/>
      <c r="J12" s="106"/>
      <c r="K12" s="108"/>
      <c r="L12" s="107"/>
      <c r="R12" s="16"/>
      <c r="S12" s="16"/>
      <c r="T12" s="16"/>
      <c r="U12" s="16"/>
      <c r="V12" s="16"/>
      <c r="W12" s="16"/>
      <c r="X12" s="16"/>
      <c r="Y12" s="16"/>
    </row>
    <row r="13" spans="1:25" ht="6" customHeight="1" x14ac:dyDescent="0.3">
      <c r="A13" s="11"/>
      <c r="B13" s="11"/>
      <c r="C13" s="11"/>
      <c r="D13" s="11"/>
      <c r="J13" s="9"/>
      <c r="R13" s="16"/>
      <c r="S13" s="16"/>
      <c r="T13" s="16"/>
      <c r="U13" s="16"/>
      <c r="V13" s="16"/>
      <c r="W13" s="16"/>
      <c r="X13" s="16"/>
      <c r="Y13" s="16"/>
    </row>
    <row r="14" spans="1:25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  <c r="R14" s="16"/>
      <c r="S14" s="16"/>
      <c r="T14" s="16"/>
      <c r="U14" s="16"/>
      <c r="V14" s="16"/>
      <c r="W14" s="16"/>
      <c r="X14" s="16"/>
      <c r="Y14" s="16"/>
    </row>
    <row r="15" spans="1:25" s="16" customFormat="1" ht="18.75" x14ac:dyDescent="0.3">
      <c r="A15" s="14" t="s">
        <v>411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25" s="16" customFormat="1" ht="18.75" x14ac:dyDescent="0.3">
      <c r="A16" s="14" t="s">
        <v>412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98</v>
      </c>
      <c r="B17" s="17"/>
      <c r="C17" s="18">
        <f>J12</f>
        <v>0</v>
      </c>
      <c r="D17" s="18" t="s">
        <v>15</v>
      </c>
      <c r="E17" s="18">
        <f>F14</f>
        <v>0</v>
      </c>
      <c r="F17" s="17" t="s">
        <v>16</v>
      </c>
      <c r="G17" s="17"/>
      <c r="H17" s="125">
        <f>(30*C17*E17)/1000</f>
        <v>0</v>
      </c>
      <c r="I17" s="125"/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413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412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339</v>
      </c>
      <c r="B20" s="17"/>
      <c r="C20" s="18">
        <f>J12</f>
        <v>0</v>
      </c>
      <c r="D20" s="18" t="s">
        <v>15</v>
      </c>
      <c r="E20" s="18">
        <f>F14</f>
        <v>0</v>
      </c>
      <c r="F20" s="17" t="s">
        <v>16</v>
      </c>
      <c r="G20" s="17"/>
      <c r="H20" s="125">
        <f>(30*C20*E20)/1000</f>
        <v>0</v>
      </c>
      <c r="I20" s="125"/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ht="18.75" x14ac:dyDescent="0.3">
      <c r="A21" s="33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2"/>
    </row>
    <row r="22" spans="1:17" ht="18.75" x14ac:dyDescent="0.3">
      <c r="A22" s="149" t="s">
        <v>118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9"/>
      <c r="Q22" s="22"/>
    </row>
    <row r="23" spans="1:17" ht="18.75" x14ac:dyDescent="0.3">
      <c r="A23" s="105" t="s">
        <v>414</v>
      </c>
      <c r="B23" s="105"/>
      <c r="C23" s="105"/>
      <c r="D23" s="105"/>
      <c r="E23" s="2"/>
      <c r="I23" s="15"/>
      <c r="J23" s="9"/>
    </row>
    <row r="24" spans="1:17" s="16" customFormat="1" ht="18.75" x14ac:dyDescent="0.3">
      <c r="A24" s="14" t="s">
        <v>415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</row>
    <row r="25" spans="1:17" s="16" customFormat="1" ht="18.75" x14ac:dyDescent="0.3">
      <c r="A25" s="14" t="s">
        <v>416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s="19" customFormat="1" ht="19.5" x14ac:dyDescent="0.35">
      <c r="A26" s="17" t="s">
        <v>119</v>
      </c>
      <c r="B26" s="17"/>
      <c r="C26" s="18">
        <f>E23</f>
        <v>0</v>
      </c>
      <c r="D26" s="18"/>
      <c r="E26" s="18" t="s">
        <v>16</v>
      </c>
      <c r="F26" s="18"/>
      <c r="G26" s="123">
        <f>(45*C26)/1000</f>
        <v>0</v>
      </c>
      <c r="H26" s="123"/>
      <c r="I26" s="123"/>
      <c r="J26" s="17" t="s">
        <v>65</v>
      </c>
      <c r="K26" s="21"/>
      <c r="L26" s="21"/>
      <c r="Q26" s="22"/>
    </row>
    <row r="28" spans="1:17" ht="18.75" x14ac:dyDescent="0.3">
      <c r="A28" s="102" t="s">
        <v>60</v>
      </c>
      <c r="B28" s="102"/>
      <c r="C28" s="102"/>
      <c r="D28" s="102"/>
      <c r="E28" s="104">
        <f>H17+H20+G26</f>
        <v>0</v>
      </c>
      <c r="F28" s="104"/>
      <c r="G28" s="104"/>
      <c r="H28" s="104"/>
      <c r="I28" s="103" t="s">
        <v>27</v>
      </c>
      <c r="J28" s="103"/>
      <c r="K28" s="103"/>
      <c r="L28" s="103"/>
    </row>
    <row r="29" spans="1:17" ht="18.75" x14ac:dyDescent="0.3">
      <c r="A29" s="26" t="s">
        <v>8</v>
      </c>
    </row>
    <row r="30" spans="1:17" ht="18.75" x14ac:dyDescent="0.3">
      <c r="A30" s="26" t="s">
        <v>149</v>
      </c>
      <c r="Q30" s="5"/>
    </row>
    <row r="31" spans="1:17" ht="12" customHeight="1" x14ac:dyDescent="0.3">
      <c r="A31" s="27"/>
    </row>
    <row r="32" spans="1:17" ht="18.75" x14ac:dyDescent="0.3">
      <c r="A32" s="26" t="s">
        <v>9</v>
      </c>
    </row>
    <row r="33" spans="1:1" ht="18.75" x14ac:dyDescent="0.3">
      <c r="A33" s="26"/>
    </row>
    <row r="34" spans="1:1" ht="18.75" x14ac:dyDescent="0.3">
      <c r="A34" s="26" t="s">
        <v>10</v>
      </c>
    </row>
  </sheetData>
  <sheetProtection password="CA9C" sheet="1" objects="1" scenarios="1"/>
  <protectedRanges>
    <protectedRange sqref="A4 G6 J6 J8 A10 J12 F14 E23" name="Диапазон1"/>
  </protectedRanges>
  <mergeCells count="23">
    <mergeCell ref="A28:D28"/>
    <mergeCell ref="E28:H28"/>
    <mergeCell ref="I28:L28"/>
    <mergeCell ref="A5:P5"/>
    <mergeCell ref="C6:F6"/>
    <mergeCell ref="G6:H6"/>
    <mergeCell ref="A14:E14"/>
    <mergeCell ref="J6:M6"/>
    <mergeCell ref="A8:I8"/>
    <mergeCell ref="G26:I26"/>
    <mergeCell ref="A23:D23"/>
    <mergeCell ref="J12:L12"/>
    <mergeCell ref="A12:I12"/>
    <mergeCell ref="F14:H14"/>
    <mergeCell ref="A22:O22"/>
    <mergeCell ref="A10:P10"/>
    <mergeCell ref="H17:I17"/>
    <mergeCell ref="H20:I20"/>
    <mergeCell ref="A1:P1"/>
    <mergeCell ref="A2:P2"/>
    <mergeCell ref="A3:P3"/>
    <mergeCell ref="A4:P4"/>
    <mergeCell ref="J8:P8"/>
  </mergeCells>
  <phoneticPr fontId="0" type="noConversion"/>
  <pageMargins left="0.59055118110236227" right="0.19685039370078741" top="0.59055118110236227" bottom="0.59055118110236227" header="0.51181102362204722" footer="0.51181102362204722"/>
  <pageSetup paperSize="9" fitToHeight="0" orientation="portrait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5">
    <pageSetUpPr fitToPage="1"/>
  </sheetPr>
  <dimension ref="A1:AA48"/>
  <sheetViews>
    <sheetView topLeftCell="A4" zoomScaleNormal="100" workbookViewId="0">
      <selection activeCell="F14" sqref="F14:H14"/>
    </sheetView>
  </sheetViews>
  <sheetFormatPr defaultRowHeight="12.75" x14ac:dyDescent="0.2"/>
  <cols>
    <col min="1" max="1" width="5.140625" style="5" customWidth="1"/>
    <col min="2" max="2" width="7.42578125" style="5" customWidth="1"/>
    <col min="3" max="3" width="9.28515625" style="5" bestFit="1" customWidth="1"/>
    <col min="4" max="4" width="6.28515625" style="5" customWidth="1"/>
    <col min="5" max="5" width="8.28515625" style="5" customWidth="1"/>
    <col min="6" max="6" width="2.5703125" style="5" customWidth="1"/>
    <col min="7" max="8" width="9.140625" style="5" customWidth="1"/>
    <col min="9" max="9" width="5.710937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7" style="5" customWidth="1"/>
    <col min="19" max="19" width="3.5703125" style="5" customWidth="1"/>
    <col min="20" max="24" width="7" style="5" customWidth="1"/>
    <col min="25" max="16384" width="9.140625" style="5"/>
  </cols>
  <sheetData>
    <row r="1" spans="1:2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2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18.75" customHeight="1" x14ac:dyDescent="0.3">
      <c r="A3" s="124" t="s">
        <v>418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ht="14.25" customHeight="1" x14ac:dyDescent="0.3">
      <c r="A7" s="10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8.75" x14ac:dyDescent="0.3">
      <c r="A13" s="31" t="s">
        <v>122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22"/>
      <c r="K14" s="22"/>
      <c r="L14" s="22"/>
      <c r="M14" s="22"/>
      <c r="N14" s="22"/>
      <c r="O14" s="22"/>
      <c r="P14" s="22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8.75" x14ac:dyDescent="0.3">
      <c r="A15" s="105" t="s">
        <v>120</v>
      </c>
      <c r="B15" s="105"/>
      <c r="C15" s="105"/>
      <c r="D15" s="105"/>
      <c r="E15" s="105"/>
      <c r="F15" s="105"/>
      <c r="G15" s="105"/>
      <c r="H15" s="2"/>
      <c r="J15" s="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s="65" customFormat="1" ht="18.75" x14ac:dyDescent="0.3">
      <c r="A16" s="64" t="s">
        <v>419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4"/>
    </row>
    <row r="17" spans="1:17" s="16" customFormat="1" ht="18.75" x14ac:dyDescent="0.3">
      <c r="A17" s="14" t="s">
        <v>121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</row>
    <row r="18" spans="1:17" s="19" customFormat="1" ht="19.5" x14ac:dyDescent="0.35">
      <c r="A18" s="17" t="s">
        <v>123</v>
      </c>
      <c r="B18" s="17"/>
      <c r="C18" s="18">
        <f>H15</f>
        <v>0</v>
      </c>
      <c r="D18" s="18" t="s">
        <v>15</v>
      </c>
      <c r="E18" s="18">
        <f>F14</f>
        <v>0</v>
      </c>
      <c r="F18" s="17" t="s">
        <v>16</v>
      </c>
      <c r="G18" s="17"/>
      <c r="H18" s="125">
        <f>(1000*C18*E18)/1000</f>
        <v>0</v>
      </c>
      <c r="I18" s="125"/>
      <c r="J18" s="17" t="s">
        <v>65</v>
      </c>
      <c r="K18" s="17"/>
      <c r="L18" s="21"/>
      <c r="M18" s="21"/>
      <c r="N18" s="21"/>
      <c r="Q18" s="22"/>
    </row>
    <row r="19" spans="1:17" ht="18.75" x14ac:dyDescent="0.3">
      <c r="A19" s="105" t="s">
        <v>124</v>
      </c>
      <c r="B19" s="105"/>
      <c r="C19" s="105"/>
      <c r="D19" s="105"/>
      <c r="E19" s="105"/>
      <c r="F19" s="105"/>
      <c r="G19" s="105"/>
      <c r="H19" s="2"/>
      <c r="J19" s="9"/>
    </row>
    <row r="20" spans="1:17" s="65" customFormat="1" ht="18.75" x14ac:dyDescent="0.3">
      <c r="A20" s="64" t="s">
        <v>420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4"/>
    </row>
    <row r="21" spans="1:17" s="16" customFormat="1" ht="18.75" x14ac:dyDescent="0.3">
      <c r="A21" s="14" t="s">
        <v>125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5"/>
    </row>
    <row r="22" spans="1:17" s="19" customFormat="1" ht="19.5" x14ac:dyDescent="0.35">
      <c r="A22" s="17" t="s">
        <v>126</v>
      </c>
      <c r="B22" s="17"/>
      <c r="C22" s="18">
        <f>H19</f>
        <v>0</v>
      </c>
      <c r="D22" s="18" t="s">
        <v>15</v>
      </c>
      <c r="E22" s="18">
        <f>F14</f>
        <v>0</v>
      </c>
      <c r="F22" s="17" t="s">
        <v>16</v>
      </c>
      <c r="G22" s="17"/>
      <c r="H22" s="125">
        <f>(1500*C22*E22)/1000</f>
        <v>0</v>
      </c>
      <c r="I22" s="125"/>
      <c r="J22" s="17" t="s">
        <v>65</v>
      </c>
      <c r="K22" s="17"/>
      <c r="L22" s="21"/>
      <c r="M22" s="21"/>
      <c r="N22" s="21"/>
      <c r="Q22" s="22"/>
    </row>
    <row r="23" spans="1:17" ht="18.75" x14ac:dyDescent="0.3">
      <c r="A23" s="105" t="s">
        <v>127</v>
      </c>
      <c r="B23" s="105"/>
      <c r="C23" s="105"/>
      <c r="D23" s="105"/>
      <c r="E23" s="2"/>
      <c r="F23" s="11"/>
      <c r="G23" s="12"/>
      <c r="J23" s="9"/>
    </row>
    <row r="24" spans="1:17" s="65" customFormat="1" ht="18.75" x14ac:dyDescent="0.3">
      <c r="A24" s="64" t="s">
        <v>421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4"/>
    </row>
    <row r="25" spans="1:17" s="16" customFormat="1" ht="18.75" x14ac:dyDescent="0.3">
      <c r="A25" s="14" t="s">
        <v>125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s="19" customFormat="1" ht="19.5" x14ac:dyDescent="0.35">
      <c r="A26" s="17" t="s">
        <v>126</v>
      </c>
      <c r="B26" s="17"/>
      <c r="C26" s="18">
        <f>E23</f>
        <v>0</v>
      </c>
      <c r="D26" s="18" t="s">
        <v>15</v>
      </c>
      <c r="E26" s="18">
        <f>F14</f>
        <v>0</v>
      </c>
      <c r="F26" s="17" t="s">
        <v>16</v>
      </c>
      <c r="G26" s="17"/>
      <c r="H26" s="125">
        <f>(1500*C26*E26)/1000</f>
        <v>0</v>
      </c>
      <c r="I26" s="125"/>
      <c r="J26" s="17" t="s">
        <v>65</v>
      </c>
      <c r="K26" s="17"/>
      <c r="L26" s="21"/>
      <c r="M26" s="21"/>
      <c r="N26" s="21"/>
      <c r="Q26" s="22"/>
    </row>
    <row r="28" spans="1:17" ht="18.75" x14ac:dyDescent="0.3">
      <c r="A28" s="31" t="s">
        <v>128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7" ht="18.75" x14ac:dyDescent="0.3">
      <c r="A29" s="105" t="s">
        <v>120</v>
      </c>
      <c r="B29" s="105"/>
      <c r="C29" s="105"/>
      <c r="D29" s="105"/>
      <c r="E29" s="105"/>
      <c r="F29" s="105"/>
      <c r="G29" s="105"/>
      <c r="H29" s="2"/>
      <c r="J29" s="9"/>
    </row>
    <row r="30" spans="1:17" s="65" customFormat="1" ht="18.75" x14ac:dyDescent="0.3">
      <c r="A30" s="64" t="s">
        <v>422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4"/>
    </row>
    <row r="31" spans="1:17" s="16" customFormat="1" ht="18.75" x14ac:dyDescent="0.3">
      <c r="A31" s="14" t="s">
        <v>129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/>
    </row>
    <row r="32" spans="1:17" s="19" customFormat="1" ht="19.5" x14ac:dyDescent="0.35">
      <c r="A32" s="17" t="s">
        <v>130</v>
      </c>
      <c r="B32" s="17"/>
      <c r="C32" s="18">
        <f>H29</f>
        <v>0</v>
      </c>
      <c r="D32" s="18" t="s">
        <v>15</v>
      </c>
      <c r="E32" s="18">
        <f>F14</f>
        <v>0</v>
      </c>
      <c r="F32" s="17" t="s">
        <v>16</v>
      </c>
      <c r="G32" s="17"/>
      <c r="H32" s="125">
        <f>(500*C32*E32)/1000</f>
        <v>0</v>
      </c>
      <c r="I32" s="125"/>
      <c r="J32" s="17" t="s">
        <v>65</v>
      </c>
      <c r="K32" s="17"/>
      <c r="L32" s="21"/>
      <c r="M32" s="21"/>
      <c r="N32" s="21"/>
      <c r="Q32" s="22"/>
    </row>
    <row r="33" spans="1:17" ht="18.75" x14ac:dyDescent="0.3">
      <c r="A33" s="105" t="s">
        <v>124</v>
      </c>
      <c r="B33" s="105"/>
      <c r="C33" s="105"/>
      <c r="D33" s="105"/>
      <c r="E33" s="105"/>
      <c r="F33" s="105"/>
      <c r="G33" s="105"/>
      <c r="H33" s="2"/>
      <c r="J33" s="9"/>
    </row>
    <row r="34" spans="1:17" s="65" customFormat="1" ht="18.75" x14ac:dyDescent="0.3">
      <c r="A34" s="64" t="s">
        <v>423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4"/>
    </row>
    <row r="35" spans="1:17" s="16" customFormat="1" ht="18.75" x14ac:dyDescent="0.3">
      <c r="A35" s="14" t="s">
        <v>131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/>
    </row>
    <row r="36" spans="1:17" s="19" customFormat="1" ht="19.5" x14ac:dyDescent="0.35">
      <c r="A36" s="17" t="s">
        <v>132</v>
      </c>
      <c r="B36" s="17"/>
      <c r="C36" s="18">
        <f>H33</f>
        <v>0</v>
      </c>
      <c r="D36" s="18" t="s">
        <v>15</v>
      </c>
      <c r="E36" s="18">
        <f>F14</f>
        <v>0</v>
      </c>
      <c r="F36" s="17" t="s">
        <v>16</v>
      </c>
      <c r="G36" s="17"/>
      <c r="H36" s="125">
        <f>(700*C36*E36)/1000</f>
        <v>0</v>
      </c>
      <c r="I36" s="125"/>
      <c r="J36" s="17" t="s">
        <v>65</v>
      </c>
      <c r="K36" s="17"/>
      <c r="L36" s="21"/>
      <c r="M36" s="21"/>
      <c r="N36" s="21"/>
      <c r="Q36" s="22"/>
    </row>
    <row r="37" spans="1:17" s="67" customFormat="1" ht="18.75" x14ac:dyDescent="0.3">
      <c r="A37" s="105" t="s">
        <v>127</v>
      </c>
      <c r="B37" s="105"/>
      <c r="C37" s="105"/>
      <c r="D37" s="105"/>
      <c r="E37" s="66"/>
      <c r="F37" s="11"/>
      <c r="G37" s="12"/>
      <c r="J37" s="68"/>
      <c r="Q37" s="68"/>
    </row>
    <row r="38" spans="1:17" s="65" customFormat="1" ht="18.75" x14ac:dyDescent="0.3">
      <c r="A38" s="64" t="s">
        <v>424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4"/>
    </row>
    <row r="39" spans="1:17" s="16" customFormat="1" ht="18.75" x14ac:dyDescent="0.3">
      <c r="A39" s="14" t="s">
        <v>133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</row>
    <row r="40" spans="1:17" s="19" customFormat="1" ht="19.5" x14ac:dyDescent="0.35">
      <c r="A40" s="17" t="s">
        <v>134</v>
      </c>
      <c r="B40" s="17"/>
      <c r="C40" s="18">
        <f>E37</f>
        <v>0</v>
      </c>
      <c r="D40" s="18" t="s">
        <v>15</v>
      </c>
      <c r="E40" s="18">
        <f>F14</f>
        <v>0</v>
      </c>
      <c r="F40" s="17" t="s">
        <v>16</v>
      </c>
      <c r="G40" s="17"/>
      <c r="H40" s="125">
        <f>(800*C40*E40)/1000</f>
        <v>0</v>
      </c>
      <c r="I40" s="125"/>
      <c r="J40" s="17" t="s">
        <v>65</v>
      </c>
      <c r="K40" s="17"/>
      <c r="L40" s="21"/>
      <c r="M40" s="21"/>
      <c r="N40" s="21"/>
      <c r="Q40" s="22"/>
    </row>
    <row r="42" spans="1:17" ht="18.75" x14ac:dyDescent="0.3">
      <c r="A42" s="102" t="s">
        <v>60</v>
      </c>
      <c r="B42" s="102"/>
      <c r="C42" s="102"/>
      <c r="D42" s="102"/>
      <c r="E42" s="104">
        <f>H18+H22+H26++H32+H36+H40</f>
        <v>0</v>
      </c>
      <c r="F42" s="104"/>
      <c r="G42" s="104"/>
      <c r="H42" s="104"/>
      <c r="I42" s="103" t="s">
        <v>27</v>
      </c>
      <c r="J42" s="103"/>
      <c r="K42" s="103"/>
      <c r="L42" s="103"/>
    </row>
    <row r="43" spans="1:17" ht="18.75" x14ac:dyDescent="0.3">
      <c r="A43" s="26" t="s">
        <v>8</v>
      </c>
    </row>
    <row r="44" spans="1:17" ht="18.75" x14ac:dyDescent="0.3">
      <c r="A44" s="26" t="s">
        <v>149</v>
      </c>
      <c r="Q44" s="5"/>
    </row>
    <row r="45" spans="1:17" ht="12" customHeight="1" x14ac:dyDescent="0.3">
      <c r="A45" s="27"/>
    </row>
    <row r="46" spans="1:17" ht="18.75" x14ac:dyDescent="0.3">
      <c r="A46" s="26" t="s">
        <v>9</v>
      </c>
    </row>
    <row r="47" spans="1:17" ht="18.75" x14ac:dyDescent="0.3">
      <c r="A47" s="26"/>
    </row>
    <row r="48" spans="1:17" ht="18.75" x14ac:dyDescent="0.3">
      <c r="A48" s="26" t="s">
        <v>10</v>
      </c>
    </row>
  </sheetData>
  <sheetProtection password="CA9C" sheet="1" objects="1" scenarios="1"/>
  <protectedRanges>
    <protectedRange sqref="A4 G6 J6 J8 A10 F14 H15 H19 E23 H29 H33 E37" name="Диапазон1"/>
  </protectedRanges>
  <mergeCells count="28">
    <mergeCell ref="J6:M6"/>
    <mergeCell ref="A1:P1"/>
    <mergeCell ref="A2:P2"/>
    <mergeCell ref="A3:P3"/>
    <mergeCell ref="A4:P4"/>
    <mergeCell ref="A5:P5"/>
    <mergeCell ref="C6:F6"/>
    <mergeCell ref="H36:I36"/>
    <mergeCell ref="H40:I40"/>
    <mergeCell ref="A37:D37"/>
    <mergeCell ref="A33:G33"/>
    <mergeCell ref="G6:H6"/>
    <mergeCell ref="A14:E14"/>
    <mergeCell ref="F14:H14"/>
    <mergeCell ref="A8:I8"/>
    <mergeCell ref="A42:D42"/>
    <mergeCell ref="E42:H42"/>
    <mergeCell ref="I42:L42"/>
    <mergeCell ref="J8:P8"/>
    <mergeCell ref="A10:P10"/>
    <mergeCell ref="A15:G15"/>
    <mergeCell ref="A19:G19"/>
    <mergeCell ref="A23:D23"/>
    <mergeCell ref="A29:G29"/>
    <mergeCell ref="H18:I18"/>
    <mergeCell ref="H22:I22"/>
    <mergeCell ref="H26:I26"/>
    <mergeCell ref="H32:I32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>
    <pageSetUpPr fitToPage="1"/>
  </sheetPr>
  <dimension ref="A1:Z47"/>
  <sheetViews>
    <sheetView topLeftCell="A4" workbookViewId="0">
      <selection activeCell="G13" sqref="G13:H13"/>
    </sheetView>
  </sheetViews>
  <sheetFormatPr defaultRowHeight="12.75" x14ac:dyDescent="0.2"/>
  <cols>
    <col min="1" max="1" width="5.85546875" style="5" customWidth="1"/>
    <col min="2" max="2" width="6.5703125" style="5" customWidth="1"/>
    <col min="3" max="3" width="7.85546875" style="5" customWidth="1"/>
    <col min="4" max="4" width="2.28515625" style="5" customWidth="1"/>
    <col min="5" max="5" width="7.42578125" style="5" customWidth="1"/>
    <col min="6" max="6" width="5.140625" style="5" customWidth="1"/>
    <col min="7" max="7" width="6.140625" style="5" customWidth="1"/>
    <col min="8" max="8" width="13.5703125" style="5" customWidth="1"/>
    <col min="9" max="9" width="4.140625" style="5" customWidth="1"/>
    <col min="10" max="10" width="9.28515625" style="5" bestFit="1" customWidth="1"/>
    <col min="11" max="12" width="5.140625" style="5" customWidth="1"/>
    <col min="13" max="13" width="3.85546875" style="5" customWidth="1"/>
    <col min="14" max="14" width="4" style="5" customWidth="1"/>
    <col min="15" max="15" width="5.7109375" style="5" customWidth="1"/>
    <col min="16" max="16" width="5.28515625" style="5" customWidth="1"/>
    <col min="17" max="17" width="9.28515625" style="5" customWidth="1"/>
    <col min="18" max="22" width="5.140625" style="5" customWidth="1"/>
    <col min="23" max="16384" width="9.140625" style="5"/>
  </cols>
  <sheetData>
    <row r="1" spans="1:26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6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S2" s="19"/>
      <c r="T2" s="19"/>
      <c r="U2" s="19"/>
      <c r="V2" s="19"/>
      <c r="W2" s="19"/>
      <c r="X2" s="19"/>
      <c r="Y2" s="19"/>
      <c r="Z2" s="19"/>
    </row>
    <row r="3" spans="1:26" ht="19.5" customHeight="1" x14ac:dyDescent="0.3">
      <c r="A3" s="109" t="s">
        <v>169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S3" s="19"/>
      <c r="T3" s="19"/>
      <c r="U3" s="19"/>
      <c r="V3" s="19"/>
      <c r="W3" s="19"/>
      <c r="X3" s="19"/>
      <c r="Y3" s="19"/>
      <c r="Z3" s="19"/>
    </row>
    <row r="4" spans="1:26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  <c r="S4" s="19"/>
      <c r="T4" s="19"/>
      <c r="U4" s="19"/>
      <c r="V4" s="19"/>
      <c r="W4" s="19"/>
      <c r="X4" s="19"/>
      <c r="Y4" s="19"/>
      <c r="Z4" s="19"/>
    </row>
    <row r="5" spans="1:26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S5" s="19"/>
      <c r="T5" s="19"/>
      <c r="U5" s="19"/>
      <c r="V5" s="19"/>
      <c r="W5" s="19"/>
      <c r="X5" s="19"/>
      <c r="Y5" s="19"/>
      <c r="Z5" s="19"/>
    </row>
    <row r="6" spans="1:26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  <c r="S6" s="19"/>
      <c r="T6" s="19"/>
      <c r="U6" s="19"/>
      <c r="V6" s="19"/>
      <c r="W6" s="19"/>
      <c r="X6" s="19"/>
      <c r="Y6" s="19"/>
      <c r="Z6" s="19"/>
    </row>
    <row r="7" spans="1:26" ht="14.25" customHeight="1" x14ac:dyDescent="0.3">
      <c r="A7" s="10"/>
      <c r="S7" s="19"/>
      <c r="T7" s="19"/>
      <c r="U7" s="19"/>
      <c r="V7" s="19"/>
      <c r="W7" s="19"/>
      <c r="X7" s="19"/>
      <c r="Y7" s="19"/>
      <c r="Z7" s="19"/>
    </row>
    <row r="8" spans="1:26" ht="18.75" x14ac:dyDescent="0.3">
      <c r="A8" s="105" t="s">
        <v>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12"/>
      <c r="M8" s="113"/>
      <c r="N8" s="113"/>
      <c r="O8" s="113"/>
      <c r="P8" s="113"/>
      <c r="Q8" s="114"/>
      <c r="S8" s="19"/>
      <c r="T8" s="19"/>
      <c r="U8" s="19"/>
      <c r="V8" s="19"/>
      <c r="W8" s="19"/>
      <c r="X8" s="19"/>
      <c r="Y8" s="19"/>
      <c r="Z8" s="19"/>
    </row>
    <row r="9" spans="1:26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S9" s="19"/>
      <c r="T9" s="19"/>
      <c r="U9" s="19"/>
      <c r="V9" s="19"/>
      <c r="W9" s="19"/>
      <c r="X9" s="19"/>
      <c r="Y9" s="19"/>
      <c r="Z9" s="19"/>
    </row>
    <row r="10" spans="1:26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18" t="s">
        <v>170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S11" s="19"/>
      <c r="T11" s="19"/>
      <c r="U11" s="19"/>
      <c r="V11" s="19"/>
      <c r="W11" s="19"/>
      <c r="X11" s="19"/>
      <c r="Y11" s="19"/>
      <c r="Z11" s="19"/>
    </row>
    <row r="12" spans="1:26" s="16" customFormat="1" ht="15" customHeight="1" x14ac:dyDescent="0.2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S12" s="19"/>
      <c r="T12" s="19"/>
      <c r="U12" s="19"/>
      <c r="V12" s="19"/>
      <c r="W12" s="19"/>
      <c r="X12" s="19"/>
      <c r="Y12" s="19"/>
      <c r="Z12" s="19"/>
    </row>
    <row r="13" spans="1:26" s="16" customFormat="1" ht="18.75" customHeight="1" x14ac:dyDescent="0.3">
      <c r="A13" s="117" t="s">
        <v>592</v>
      </c>
      <c r="B13" s="117"/>
      <c r="C13" s="117"/>
      <c r="D13" s="117"/>
      <c r="E13" s="117"/>
      <c r="F13" s="117"/>
      <c r="G13" s="106"/>
      <c r="H13" s="107"/>
      <c r="I13" s="83"/>
      <c r="J13" s="83"/>
      <c r="K13" s="83"/>
      <c r="L13" s="83"/>
      <c r="M13" s="83"/>
      <c r="N13" s="83"/>
      <c r="O13" s="83"/>
      <c r="P13" s="83"/>
      <c r="Q13" s="83"/>
      <c r="R13" s="84"/>
      <c r="S13" s="85"/>
      <c r="T13" s="85"/>
      <c r="U13" s="85"/>
      <c r="V13" s="85"/>
      <c r="W13" s="19"/>
      <c r="X13" s="19"/>
      <c r="Y13" s="19"/>
      <c r="Z13" s="19"/>
    </row>
    <row r="14" spans="1:26" s="88" customFormat="1" ht="10.5" customHeight="1" x14ac:dyDescent="0.3">
      <c r="A14" s="86"/>
      <c r="B14" s="86"/>
      <c r="C14" s="86"/>
      <c r="D14" s="86"/>
      <c r="E14" s="86"/>
      <c r="F14" s="86"/>
      <c r="G14" s="90"/>
      <c r="H14" s="90"/>
      <c r="I14" s="87"/>
      <c r="J14" s="87"/>
      <c r="K14" s="87"/>
      <c r="L14" s="87"/>
      <c r="M14" s="87"/>
      <c r="N14" s="87"/>
      <c r="O14" s="87"/>
      <c r="P14" s="87"/>
      <c r="Q14" s="87"/>
      <c r="S14" s="89"/>
      <c r="T14" s="89"/>
      <c r="U14" s="89"/>
      <c r="V14" s="89"/>
      <c r="W14" s="89"/>
      <c r="X14" s="89"/>
      <c r="Y14" s="89"/>
      <c r="Z14" s="89"/>
    </row>
    <row r="15" spans="1:26" ht="18.75" x14ac:dyDescent="0.3">
      <c r="A15" s="105" t="s">
        <v>39</v>
      </c>
      <c r="B15" s="105"/>
      <c r="C15" s="105"/>
      <c r="D15" s="105"/>
      <c r="E15" s="105"/>
      <c r="F15" s="105"/>
      <c r="G15" s="106"/>
      <c r="H15" s="107"/>
      <c r="I15" s="15"/>
      <c r="J15" s="9"/>
    </row>
    <row r="16" spans="1:26" s="16" customFormat="1" ht="18.75" x14ac:dyDescent="0.3">
      <c r="A16" s="105" t="s">
        <v>165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s="16" customFormat="1" ht="18.75" x14ac:dyDescent="0.3">
      <c r="A17" s="105" t="s">
        <v>166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s="19" customFormat="1" ht="19.5" x14ac:dyDescent="0.35">
      <c r="A18" s="116" t="s">
        <v>53</v>
      </c>
      <c r="B18" s="116"/>
      <c r="C18" s="18">
        <f>G15</f>
        <v>0</v>
      </c>
      <c r="D18" s="18" t="s">
        <v>15</v>
      </c>
      <c r="E18" s="18">
        <f>G13</f>
        <v>0</v>
      </c>
      <c r="F18" s="17" t="s">
        <v>16</v>
      </c>
      <c r="G18" s="17"/>
      <c r="H18" s="95">
        <f>(40*C18*E18)/1000</f>
        <v>0</v>
      </c>
      <c r="I18" s="17" t="s">
        <v>17</v>
      </c>
      <c r="J18" s="17"/>
      <c r="K18" s="21"/>
      <c r="L18" s="21"/>
      <c r="M18" s="21"/>
      <c r="N18" s="21"/>
      <c r="O18" s="21"/>
      <c r="P18" s="21"/>
      <c r="Q18" s="21"/>
    </row>
    <row r="19" spans="1:17" s="16" customFormat="1" ht="18.75" x14ac:dyDescent="0.3">
      <c r="A19" s="105" t="s">
        <v>167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spans="1:17" s="16" customFormat="1" ht="18.75" x14ac:dyDescent="0.3">
      <c r="A20" s="105" t="s">
        <v>168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s="19" customFormat="1" ht="19.5" x14ac:dyDescent="0.35">
      <c r="A21" s="116" t="s">
        <v>114</v>
      </c>
      <c r="B21" s="116"/>
      <c r="C21" s="18">
        <f>G15</f>
        <v>0</v>
      </c>
      <c r="D21" s="18" t="s">
        <v>15</v>
      </c>
      <c r="E21" s="18">
        <f>G13</f>
        <v>0</v>
      </c>
      <c r="F21" s="17" t="s">
        <v>16</v>
      </c>
      <c r="G21" s="17"/>
      <c r="H21" s="95">
        <f>(75*C21*E21)/1000</f>
        <v>0</v>
      </c>
      <c r="I21" s="17" t="s">
        <v>17</v>
      </c>
      <c r="J21" s="17"/>
      <c r="K21" s="21"/>
      <c r="L21" s="21"/>
      <c r="M21" s="21"/>
      <c r="N21" s="21"/>
      <c r="O21" s="21"/>
      <c r="P21" s="21"/>
      <c r="Q21" s="21"/>
    </row>
    <row r="22" spans="1:17" s="19" customFormat="1" ht="6" customHeight="1" x14ac:dyDescent="0.35">
      <c r="A22" s="17"/>
      <c r="B22" s="17"/>
      <c r="C22" s="18"/>
      <c r="D22" s="18"/>
      <c r="E22" s="18"/>
      <c r="F22" s="17"/>
      <c r="G22" s="17"/>
      <c r="H22" s="20"/>
      <c r="I22" s="17"/>
      <c r="J22" s="17"/>
      <c r="K22" s="21"/>
      <c r="L22" s="21"/>
      <c r="M22" s="21"/>
      <c r="N22" s="21"/>
      <c r="O22" s="21"/>
      <c r="P22" s="21"/>
      <c r="Q22" s="21"/>
    </row>
    <row r="23" spans="1:17" s="49" customFormat="1" ht="19.5" x14ac:dyDescent="0.35">
      <c r="A23" s="45" t="s">
        <v>171</v>
      </c>
      <c r="B23" s="45"/>
      <c r="C23" s="46"/>
      <c r="D23" s="46"/>
      <c r="E23" s="46"/>
      <c r="F23" s="45"/>
      <c r="G23" s="45"/>
      <c r="H23" s="47"/>
      <c r="I23" s="45"/>
      <c r="J23" s="45"/>
      <c r="K23" s="48"/>
      <c r="L23" s="48"/>
      <c r="M23" s="48"/>
      <c r="N23" s="48"/>
      <c r="O23" s="48"/>
      <c r="P23" s="48"/>
      <c r="Q23" s="48"/>
    </row>
    <row r="24" spans="1:17" ht="18.75" x14ac:dyDescent="0.3">
      <c r="A24" s="105" t="s">
        <v>39</v>
      </c>
      <c r="B24" s="105"/>
      <c r="C24" s="105"/>
      <c r="D24" s="105"/>
      <c r="E24" s="105"/>
      <c r="F24" s="105"/>
      <c r="G24" s="106"/>
      <c r="H24" s="107"/>
      <c r="I24" s="15"/>
      <c r="J24" s="9"/>
    </row>
    <row r="25" spans="1:17" s="16" customFormat="1" ht="18.75" x14ac:dyDescent="0.3">
      <c r="A25" s="105" t="s">
        <v>172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17" s="16" customFormat="1" ht="18.75" x14ac:dyDescent="0.3">
      <c r="A26" s="105" t="s">
        <v>173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</row>
    <row r="27" spans="1:17" s="19" customFormat="1" ht="19.5" x14ac:dyDescent="0.35">
      <c r="A27" s="116" t="s">
        <v>174</v>
      </c>
      <c r="B27" s="116"/>
      <c r="C27" s="18">
        <f>G24</f>
        <v>0</v>
      </c>
      <c r="D27" s="18" t="s">
        <v>15</v>
      </c>
      <c r="E27" s="18">
        <f>G13</f>
        <v>0</v>
      </c>
      <c r="F27" s="17" t="s">
        <v>16</v>
      </c>
      <c r="G27" s="17"/>
      <c r="H27" s="95">
        <f>(110*C27*E27)/1000</f>
        <v>0</v>
      </c>
      <c r="I27" s="17" t="s">
        <v>17</v>
      </c>
      <c r="J27" s="17"/>
      <c r="K27" s="21"/>
      <c r="L27" s="21"/>
      <c r="M27" s="21"/>
      <c r="N27" s="21"/>
      <c r="O27" s="21"/>
      <c r="P27" s="21"/>
      <c r="Q27" s="21"/>
    </row>
    <row r="28" spans="1:17" s="16" customFormat="1" ht="18.75" x14ac:dyDescent="0.3">
      <c r="A28" s="105" t="s">
        <v>175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17" s="16" customFormat="1" ht="18.75" x14ac:dyDescent="0.3">
      <c r="A29" s="105" t="s">
        <v>176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s="19" customFormat="1" ht="19.5" x14ac:dyDescent="0.35">
      <c r="A30" s="116" t="s">
        <v>177</v>
      </c>
      <c r="B30" s="116"/>
      <c r="C30" s="18">
        <f>G24</f>
        <v>0</v>
      </c>
      <c r="D30" s="18" t="s">
        <v>15</v>
      </c>
      <c r="E30" s="18">
        <f>G13</f>
        <v>0</v>
      </c>
      <c r="F30" s="17" t="s">
        <v>16</v>
      </c>
      <c r="G30" s="17"/>
      <c r="H30" s="95">
        <f>(90*C30*E30)/1000</f>
        <v>0</v>
      </c>
      <c r="I30" s="17" t="s">
        <v>17</v>
      </c>
      <c r="J30" s="17"/>
      <c r="K30" s="21"/>
      <c r="L30" s="21"/>
      <c r="M30" s="21"/>
      <c r="N30" s="21"/>
      <c r="O30" s="21"/>
      <c r="P30" s="21"/>
      <c r="Q30" s="21"/>
    </row>
    <row r="31" spans="1:17" s="16" customFormat="1" ht="4.5" customHeight="1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  <row r="32" spans="1:17" s="49" customFormat="1" ht="20.25" customHeight="1" x14ac:dyDescent="0.35">
      <c r="A32" s="45" t="s">
        <v>178</v>
      </c>
      <c r="B32" s="45"/>
      <c r="C32" s="46"/>
      <c r="D32" s="46"/>
      <c r="E32" s="46"/>
      <c r="F32" s="45"/>
      <c r="G32" s="45"/>
      <c r="H32" s="47"/>
      <c r="I32" s="45"/>
      <c r="J32" s="45"/>
      <c r="K32" s="48"/>
      <c r="L32" s="48"/>
      <c r="M32" s="48"/>
      <c r="N32" s="48"/>
      <c r="O32" s="48"/>
      <c r="P32" s="48"/>
      <c r="Q32" s="48"/>
    </row>
    <row r="33" spans="1:17" ht="18.75" x14ac:dyDescent="0.3">
      <c r="A33" s="105" t="s">
        <v>39</v>
      </c>
      <c r="B33" s="105"/>
      <c r="C33" s="105"/>
      <c r="D33" s="105"/>
      <c r="E33" s="105"/>
      <c r="F33" s="105"/>
      <c r="G33" s="106"/>
      <c r="H33" s="107"/>
      <c r="I33" s="15"/>
      <c r="J33" s="9"/>
    </row>
    <row r="34" spans="1:17" s="16" customFormat="1" ht="18.75" x14ac:dyDescent="0.3">
      <c r="A34" s="105" t="s">
        <v>179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1:17" s="16" customFormat="1" ht="18.75" x14ac:dyDescent="0.3">
      <c r="A35" s="105" t="s">
        <v>180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1:17" s="19" customFormat="1" ht="19.5" x14ac:dyDescent="0.35">
      <c r="A36" s="116" t="s">
        <v>57</v>
      </c>
      <c r="B36" s="116"/>
      <c r="C36" s="18">
        <f>G33</f>
        <v>0</v>
      </c>
      <c r="D36" s="18" t="s">
        <v>15</v>
      </c>
      <c r="E36" s="18">
        <f>G13</f>
        <v>0</v>
      </c>
      <c r="F36" s="17" t="s">
        <v>16</v>
      </c>
      <c r="G36" s="17"/>
      <c r="H36" s="95">
        <f>(130*C36*E36)/1000</f>
        <v>0</v>
      </c>
      <c r="I36" s="17" t="s">
        <v>17</v>
      </c>
      <c r="J36" s="17"/>
      <c r="K36" s="21"/>
      <c r="L36" s="21"/>
      <c r="M36" s="21"/>
      <c r="N36" s="21"/>
      <c r="O36" s="21"/>
      <c r="P36" s="21"/>
      <c r="Q36" s="21"/>
    </row>
    <row r="37" spans="1:17" s="16" customFormat="1" ht="18.75" x14ac:dyDescent="0.3">
      <c r="A37" s="105" t="s">
        <v>181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</row>
    <row r="38" spans="1:17" s="16" customFormat="1" ht="18.75" x14ac:dyDescent="0.3">
      <c r="A38" s="105" t="s">
        <v>173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1:17" s="19" customFormat="1" ht="19.5" x14ac:dyDescent="0.35">
      <c r="A39" s="116" t="s">
        <v>174</v>
      </c>
      <c r="B39" s="116"/>
      <c r="C39" s="18">
        <f>G33</f>
        <v>0</v>
      </c>
      <c r="D39" s="18" t="s">
        <v>15</v>
      </c>
      <c r="E39" s="18">
        <f>G13</f>
        <v>0</v>
      </c>
      <c r="F39" s="17" t="s">
        <v>16</v>
      </c>
      <c r="G39" s="17"/>
      <c r="H39" s="95">
        <f>(110*C39*E39)/1000</f>
        <v>0</v>
      </c>
      <c r="I39" s="17" t="s">
        <v>17</v>
      </c>
      <c r="J39" s="17"/>
      <c r="K39" s="21"/>
      <c r="L39" s="21"/>
      <c r="M39" s="21"/>
      <c r="N39" s="21"/>
      <c r="O39" s="21"/>
      <c r="P39" s="21"/>
      <c r="Q39" s="21"/>
    </row>
    <row r="41" spans="1:17" ht="18.75" x14ac:dyDescent="0.3">
      <c r="A41" s="102" t="s">
        <v>26</v>
      </c>
      <c r="B41" s="102"/>
      <c r="C41" s="102"/>
      <c r="D41" s="102"/>
      <c r="E41" s="104">
        <f>H18+H21+H27+H30+H36+H39</f>
        <v>0</v>
      </c>
      <c r="F41" s="104"/>
      <c r="G41" s="104"/>
      <c r="H41" s="104"/>
      <c r="I41" s="103" t="s">
        <v>27</v>
      </c>
      <c r="J41" s="103"/>
      <c r="K41" s="103"/>
      <c r="L41" s="103"/>
    </row>
    <row r="42" spans="1:17" ht="18.75" x14ac:dyDescent="0.3">
      <c r="A42" s="26" t="s">
        <v>8</v>
      </c>
    </row>
    <row r="43" spans="1:17" ht="18.75" x14ac:dyDescent="0.3">
      <c r="A43" s="26" t="s">
        <v>149</v>
      </c>
    </row>
    <row r="44" spans="1:17" ht="12" customHeight="1" x14ac:dyDescent="0.3">
      <c r="A44" s="27"/>
    </row>
    <row r="45" spans="1:17" ht="18.75" x14ac:dyDescent="0.3">
      <c r="A45" s="26" t="s">
        <v>9</v>
      </c>
    </row>
    <row r="46" spans="1:17" ht="18.75" x14ac:dyDescent="0.3">
      <c r="A46" s="26"/>
    </row>
    <row r="47" spans="1:17" ht="18.75" x14ac:dyDescent="0.3">
      <c r="A47" s="26" t="s">
        <v>10</v>
      </c>
    </row>
  </sheetData>
  <sheetProtection password="CA9C" sheet="1" objects="1" scenarios="1"/>
  <protectedRanges>
    <protectedRange sqref="A4 G6 J6 L8 A10 G13 G15 G24 G33" name="Диапазон1"/>
  </protectedRanges>
  <mergeCells count="42">
    <mergeCell ref="A11:Q12"/>
    <mergeCell ref="A41:D41"/>
    <mergeCell ref="E41:H41"/>
    <mergeCell ref="I41:L41"/>
    <mergeCell ref="A38:Q38"/>
    <mergeCell ref="A31:Q31"/>
    <mergeCell ref="A39:B39"/>
    <mergeCell ref="A36:B36"/>
    <mergeCell ref="A37:Q37"/>
    <mergeCell ref="A19:Q19"/>
    <mergeCell ref="A20:Q20"/>
    <mergeCell ref="A15:F15"/>
    <mergeCell ref="G15:H15"/>
    <mergeCell ref="A18:B18"/>
    <mergeCell ref="A17:Q17"/>
    <mergeCell ref="A29:Q29"/>
    <mergeCell ref="A1:Q1"/>
    <mergeCell ref="A2:Q2"/>
    <mergeCell ref="A3:Q3"/>
    <mergeCell ref="A4:Q4"/>
    <mergeCell ref="A5:Q5"/>
    <mergeCell ref="J6:M6"/>
    <mergeCell ref="L8:Q8"/>
    <mergeCell ref="A28:Q28"/>
    <mergeCell ref="A24:F24"/>
    <mergeCell ref="G24:H24"/>
    <mergeCell ref="A26:Q26"/>
    <mergeCell ref="A27:B27"/>
    <mergeCell ref="A25:Q25"/>
    <mergeCell ref="A13:F13"/>
    <mergeCell ref="G13:H13"/>
    <mergeCell ref="A8:K8"/>
    <mergeCell ref="C6:F6"/>
    <mergeCell ref="G6:H6"/>
    <mergeCell ref="A21:B21"/>
    <mergeCell ref="A10:Q10"/>
    <mergeCell ref="A16:Q16"/>
    <mergeCell ref="A30:B30"/>
    <mergeCell ref="A33:F33"/>
    <mergeCell ref="G33:H33"/>
    <mergeCell ref="A35:Q35"/>
    <mergeCell ref="A34:Q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26">
    <pageSetUpPr fitToPage="1"/>
  </sheetPr>
  <dimension ref="A1:Y36"/>
  <sheetViews>
    <sheetView topLeftCell="A22" workbookViewId="0">
      <selection activeCell="F12" sqref="F12:H12"/>
    </sheetView>
  </sheetViews>
  <sheetFormatPr defaultRowHeight="12.75" x14ac:dyDescent="0.2"/>
  <cols>
    <col min="1" max="1" width="5.140625" style="5" customWidth="1"/>
    <col min="2" max="2" width="7.14062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7.140625" style="5" customWidth="1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4.28515625" style="5" customWidth="1"/>
    <col min="19" max="19" width="6.42578125" style="5" customWidth="1"/>
    <col min="20" max="20" width="10" style="5" customWidth="1"/>
    <col min="21" max="24" width="6.14062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6"/>
      <c r="S2" s="16"/>
      <c r="T2" s="16"/>
      <c r="U2" s="16"/>
      <c r="V2" s="16"/>
      <c r="W2" s="16"/>
      <c r="X2" s="16"/>
      <c r="Y2" s="16"/>
    </row>
    <row r="3" spans="1:25" ht="18.75" customHeight="1" x14ac:dyDescent="0.3">
      <c r="A3" s="124" t="s">
        <v>135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6"/>
      <c r="S6" s="16"/>
      <c r="T6" s="16"/>
      <c r="U6" s="16"/>
      <c r="V6" s="16"/>
      <c r="W6" s="16"/>
      <c r="X6" s="16"/>
      <c r="Y6" s="16"/>
    </row>
    <row r="7" spans="1:25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6"/>
      <c r="S9" s="16"/>
      <c r="T9" s="16"/>
      <c r="U9" s="16"/>
      <c r="V9" s="16"/>
      <c r="W9" s="16"/>
      <c r="X9" s="16"/>
      <c r="Y9" s="16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</row>
    <row r="12" spans="1:25" ht="18.75" x14ac:dyDescent="0.3">
      <c r="A12" s="105" t="s">
        <v>136</v>
      </c>
      <c r="B12" s="105"/>
      <c r="C12" s="105"/>
      <c r="D12" s="105"/>
      <c r="E12" s="105"/>
      <c r="F12" s="106"/>
      <c r="G12" s="108"/>
      <c r="H12" s="107"/>
      <c r="I12" s="30"/>
      <c r="R12" s="16"/>
      <c r="S12" s="16"/>
      <c r="T12" s="16"/>
      <c r="U12" s="16"/>
      <c r="V12" s="16"/>
      <c r="W12" s="16"/>
      <c r="X12" s="16"/>
      <c r="Y12" s="16"/>
    </row>
    <row r="13" spans="1:25" ht="6" customHeight="1" x14ac:dyDescent="0.3">
      <c r="A13" s="11"/>
      <c r="B13" s="11"/>
      <c r="C13" s="11"/>
      <c r="D13" s="11"/>
      <c r="J13" s="9"/>
      <c r="R13" s="16"/>
      <c r="S13" s="16"/>
      <c r="T13" s="16"/>
      <c r="U13" s="16"/>
      <c r="V13" s="16"/>
      <c r="W13" s="16"/>
      <c r="X13" s="16"/>
      <c r="Y13" s="16"/>
    </row>
    <row r="14" spans="1:25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  <c r="R14" s="16"/>
      <c r="S14" s="16"/>
      <c r="T14" s="16"/>
      <c r="U14" s="16"/>
      <c r="V14" s="16"/>
      <c r="W14" s="16"/>
      <c r="X14" s="16"/>
      <c r="Y14" s="16"/>
    </row>
    <row r="15" spans="1:25" s="16" customFormat="1" ht="18.75" x14ac:dyDescent="0.3">
      <c r="A15" s="14" t="s">
        <v>325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25" s="16" customFormat="1" ht="18.75" x14ac:dyDescent="0.3">
      <c r="A16" s="14" t="s">
        <v>326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84</v>
      </c>
      <c r="B17" s="17"/>
      <c r="C17" s="18">
        <f>F12</f>
        <v>0</v>
      </c>
      <c r="D17" s="18" t="s">
        <v>15</v>
      </c>
      <c r="E17" s="18">
        <f>F14</f>
        <v>0</v>
      </c>
      <c r="F17" s="17" t="s">
        <v>16</v>
      </c>
      <c r="G17" s="17"/>
      <c r="I17" s="95">
        <f>(7*C17*E17)/1000</f>
        <v>0</v>
      </c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220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425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198</v>
      </c>
      <c r="B20" s="17"/>
      <c r="C20" s="18">
        <f>F12</f>
        <v>0</v>
      </c>
      <c r="D20" s="18" t="s">
        <v>15</v>
      </c>
      <c r="E20" s="18">
        <f>F14</f>
        <v>0</v>
      </c>
      <c r="F20" s="17" t="s">
        <v>16</v>
      </c>
      <c r="G20" s="17"/>
      <c r="I20" s="95">
        <f>(5*C20*E20)/1000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2"/>
    </row>
    <row r="22" spans="1:17" ht="18.75" x14ac:dyDescent="0.3">
      <c r="A22" s="105" t="s">
        <v>137</v>
      </c>
      <c r="B22" s="105"/>
      <c r="C22" s="105"/>
      <c r="D22" s="105"/>
      <c r="E22" s="105"/>
      <c r="F22" s="106"/>
      <c r="G22" s="108"/>
      <c r="H22" s="107"/>
      <c r="I22" s="30"/>
    </row>
    <row r="23" spans="1:17" s="16" customFormat="1" ht="18.75" x14ac:dyDescent="0.3">
      <c r="A23" s="14" t="s">
        <v>426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/>
    </row>
    <row r="24" spans="1:17" s="16" customFormat="1" ht="18.75" x14ac:dyDescent="0.3">
      <c r="A24" s="14" t="s">
        <v>427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</row>
    <row r="25" spans="1:17" s="19" customFormat="1" ht="19.5" x14ac:dyDescent="0.35">
      <c r="A25" s="17" t="s">
        <v>428</v>
      </c>
      <c r="B25" s="17"/>
      <c r="C25" s="18">
        <f>F22</f>
        <v>0</v>
      </c>
      <c r="D25" s="18" t="s">
        <v>15</v>
      </c>
      <c r="E25" s="18">
        <f>F14</f>
        <v>0</v>
      </c>
      <c r="F25" s="17" t="s">
        <v>16</v>
      </c>
      <c r="G25" s="17"/>
      <c r="I25" s="95">
        <f>(2.5*C25*E25)/1000</f>
        <v>0</v>
      </c>
      <c r="J25" s="17" t="s">
        <v>65</v>
      </c>
      <c r="K25" s="17"/>
      <c r="L25" s="21"/>
      <c r="M25" s="21"/>
      <c r="N25" s="21"/>
      <c r="Q25" s="22"/>
    </row>
    <row r="26" spans="1:17" s="16" customFormat="1" ht="18.75" x14ac:dyDescent="0.3">
      <c r="A26" s="14" t="s">
        <v>429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</row>
    <row r="27" spans="1:17" s="16" customFormat="1" ht="18.75" x14ac:dyDescent="0.3">
      <c r="A27" s="14" t="s">
        <v>430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</row>
    <row r="28" spans="1:17" s="19" customFormat="1" ht="19.5" x14ac:dyDescent="0.35">
      <c r="A28" s="17" t="s">
        <v>356</v>
      </c>
      <c r="B28" s="17"/>
      <c r="C28" s="18">
        <f>F22</f>
        <v>0</v>
      </c>
      <c r="D28" s="18" t="s">
        <v>15</v>
      </c>
      <c r="E28" s="18">
        <f>F14</f>
        <v>0</v>
      </c>
      <c r="F28" s="17" t="s">
        <v>16</v>
      </c>
      <c r="G28" s="17"/>
      <c r="I28" s="95">
        <f>(1.5*C28*E28)/1000</f>
        <v>0</v>
      </c>
      <c r="J28" s="17" t="s">
        <v>66</v>
      </c>
      <c r="K28" s="17"/>
      <c r="L28" s="21"/>
      <c r="M28" s="21"/>
      <c r="N28" s="21"/>
      <c r="O28" s="21"/>
      <c r="P28" s="21"/>
      <c r="Q28" s="23"/>
    </row>
    <row r="29" spans="1:17" ht="18.75" x14ac:dyDescent="0.3">
      <c r="A29" s="26"/>
    </row>
    <row r="30" spans="1:17" ht="18.75" x14ac:dyDescent="0.3">
      <c r="A30" s="102" t="s">
        <v>60</v>
      </c>
      <c r="B30" s="102"/>
      <c r="C30" s="102"/>
      <c r="D30" s="102"/>
      <c r="E30" s="104">
        <f>SUM(I17,I20,I25,I28)</f>
        <v>0</v>
      </c>
      <c r="F30" s="104"/>
      <c r="G30" s="104"/>
      <c r="H30" s="104"/>
      <c r="I30" s="103" t="s">
        <v>27</v>
      </c>
      <c r="J30" s="103"/>
      <c r="K30" s="103"/>
      <c r="L30" s="103"/>
    </row>
    <row r="31" spans="1:17" ht="18.75" x14ac:dyDescent="0.3">
      <c r="A31" s="26" t="s">
        <v>8</v>
      </c>
    </row>
    <row r="32" spans="1:17" ht="18.75" x14ac:dyDescent="0.3">
      <c r="A32" s="26" t="s">
        <v>149</v>
      </c>
      <c r="Q32" s="5"/>
    </row>
    <row r="33" spans="1:1" ht="12" customHeight="1" x14ac:dyDescent="0.3">
      <c r="A33" s="27"/>
    </row>
    <row r="34" spans="1:1" ht="18.75" x14ac:dyDescent="0.3">
      <c r="A34" s="26" t="s">
        <v>9</v>
      </c>
    </row>
    <row r="35" spans="1:1" ht="18.75" x14ac:dyDescent="0.3">
      <c r="A35" s="26"/>
    </row>
    <row r="36" spans="1:1" ht="18.75" x14ac:dyDescent="0.3">
      <c r="A36" s="26" t="s">
        <v>10</v>
      </c>
    </row>
  </sheetData>
  <sheetProtection password="CA9C" sheet="1" objects="1" scenarios="1"/>
  <protectedRanges>
    <protectedRange sqref="A4 G6 J6 J8 A10 F12 F14 F22" name="Диапазон1"/>
  </protectedRanges>
  <mergeCells count="20">
    <mergeCell ref="A30:D30"/>
    <mergeCell ref="E30:H30"/>
    <mergeCell ref="I30:L30"/>
    <mergeCell ref="A8:I8"/>
    <mergeCell ref="J8:P8"/>
    <mergeCell ref="A22:E22"/>
    <mergeCell ref="A12:E12"/>
    <mergeCell ref="A14:E14"/>
    <mergeCell ref="F14:H14"/>
    <mergeCell ref="F22:H22"/>
    <mergeCell ref="A1:P1"/>
    <mergeCell ref="A2:P2"/>
    <mergeCell ref="A3:P3"/>
    <mergeCell ref="A4:P4"/>
    <mergeCell ref="A5:P5"/>
    <mergeCell ref="C6:F6"/>
    <mergeCell ref="G6:H6"/>
    <mergeCell ref="F12:H12"/>
    <mergeCell ref="A10:P10"/>
    <mergeCell ref="J6:M6"/>
  </mergeCells>
  <phoneticPr fontId="0" type="noConversion"/>
  <pageMargins left="0.59055118110236227" right="0.19685039370078741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27">
    <pageSetUpPr fitToPage="1"/>
  </sheetPr>
  <dimension ref="A1:AB57"/>
  <sheetViews>
    <sheetView workbookViewId="0">
      <selection activeCell="F13" sqref="F13:H13"/>
    </sheetView>
  </sheetViews>
  <sheetFormatPr defaultRowHeight="12.75" x14ac:dyDescent="0.2"/>
  <cols>
    <col min="1" max="1" width="5.140625" style="5" customWidth="1"/>
    <col min="2" max="2" width="7.4257812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8.5703125" style="5" customWidth="1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6.28515625" style="5" customWidth="1"/>
    <col min="19" max="19" width="3.85546875" style="5" customWidth="1"/>
    <col min="20" max="20" width="6.28515625" style="5" customWidth="1"/>
    <col min="21" max="21" width="9.85546875" style="5" customWidth="1"/>
    <col min="22" max="24" width="6.28515625" style="5" customWidth="1"/>
    <col min="25" max="16384" width="9.140625" style="5"/>
  </cols>
  <sheetData>
    <row r="1" spans="1:28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8.75" customHeight="1" x14ac:dyDescent="0.3">
      <c r="A3" s="124" t="s">
        <v>138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s="52" customFormat="1" ht="18.75" x14ac:dyDescent="0.3">
      <c r="A11" s="50" t="s">
        <v>431</v>
      </c>
      <c r="Q11" s="53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2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18.75" x14ac:dyDescent="0.3">
      <c r="A13" s="105" t="s">
        <v>64</v>
      </c>
      <c r="B13" s="105"/>
      <c r="C13" s="105"/>
      <c r="D13" s="105"/>
      <c r="E13" s="105"/>
      <c r="F13" s="106"/>
      <c r="G13" s="108"/>
      <c r="H13" s="107"/>
      <c r="I13" s="15" t="s">
        <v>69</v>
      </c>
      <c r="J13" s="19"/>
      <c r="K13" s="19"/>
      <c r="L13" s="19"/>
      <c r="M13" s="19"/>
      <c r="N13" s="19"/>
      <c r="O13" s="19"/>
      <c r="P13" s="19"/>
      <c r="Q13" s="22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ht="18.75" x14ac:dyDescent="0.3">
      <c r="A14" s="134" t="s">
        <v>137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06"/>
      <c r="L14" s="107"/>
      <c r="M14" s="29"/>
      <c r="N14" s="29"/>
      <c r="P14" s="29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s="16" customFormat="1" ht="18.75" x14ac:dyDescent="0.3">
      <c r="A15" s="14" t="s">
        <v>432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28" s="16" customFormat="1" ht="18.75" x14ac:dyDescent="0.3">
      <c r="A16" s="14" t="s">
        <v>441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28" s="19" customFormat="1" ht="19.5" x14ac:dyDescent="0.35">
      <c r="A17" s="17" t="s">
        <v>161</v>
      </c>
      <c r="B17" s="17"/>
      <c r="C17" s="18">
        <f>K14</f>
        <v>0</v>
      </c>
      <c r="D17" s="18" t="s">
        <v>15</v>
      </c>
      <c r="E17" s="18">
        <f>F13</f>
        <v>0</v>
      </c>
      <c r="F17" s="17" t="s">
        <v>16</v>
      </c>
      <c r="G17" s="17"/>
      <c r="I17" s="95">
        <f>(60*C17*E17)/1000</f>
        <v>0</v>
      </c>
      <c r="J17" s="17" t="s">
        <v>65</v>
      </c>
      <c r="K17" s="17"/>
      <c r="L17" s="21"/>
      <c r="M17" s="21"/>
      <c r="N17" s="21"/>
      <c r="Q17" s="22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s="16" customFormat="1" ht="18.75" x14ac:dyDescent="0.3">
      <c r="A18" s="14" t="s">
        <v>433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28" s="16" customFormat="1" ht="18.75" x14ac:dyDescent="0.3">
      <c r="A19" s="14" t="s">
        <v>434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28" s="19" customFormat="1" ht="19.5" x14ac:dyDescent="0.35">
      <c r="A20" s="17" t="s">
        <v>435</v>
      </c>
      <c r="B20" s="17"/>
      <c r="C20" s="18">
        <f>K14</f>
        <v>0</v>
      </c>
      <c r="D20" s="18" t="s">
        <v>15</v>
      </c>
      <c r="E20" s="18">
        <f>F13</f>
        <v>0</v>
      </c>
      <c r="F20" s="17" t="s">
        <v>16</v>
      </c>
      <c r="G20" s="17"/>
      <c r="I20" s="95">
        <f>(120*C20*E20)/1000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28" ht="14.25" customHeight="1" x14ac:dyDescent="0.3">
      <c r="A21" s="26"/>
    </row>
    <row r="22" spans="1:28" s="52" customFormat="1" ht="18.75" x14ac:dyDescent="0.3">
      <c r="A22" s="50" t="s">
        <v>436</v>
      </c>
      <c r="Q22" s="53"/>
    </row>
    <row r="23" spans="1:28" ht="18.75" x14ac:dyDescent="0.3">
      <c r="A23" s="50" t="s">
        <v>437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1:28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2"/>
    </row>
    <row r="25" spans="1:28" ht="18.75" x14ac:dyDescent="0.3">
      <c r="A25" s="134" t="s">
        <v>137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06"/>
      <c r="L25" s="107"/>
      <c r="M25" s="29"/>
      <c r="N25" s="29"/>
      <c r="P25" s="29"/>
    </row>
    <row r="26" spans="1:28" s="16" customFormat="1" ht="18.75" x14ac:dyDescent="0.3">
      <c r="A26" s="14" t="s">
        <v>438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</row>
    <row r="27" spans="1:28" s="16" customFormat="1" ht="18.75" x14ac:dyDescent="0.3">
      <c r="A27" s="14" t="s">
        <v>626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</row>
    <row r="28" spans="1:28" s="19" customFormat="1" ht="19.5" x14ac:dyDescent="0.35">
      <c r="A28" s="17" t="s">
        <v>400</v>
      </c>
      <c r="B28" s="17"/>
      <c r="C28" s="18">
        <f>K25</f>
        <v>0</v>
      </c>
      <c r="D28" s="18" t="s">
        <v>15</v>
      </c>
      <c r="E28" s="18">
        <f>F13</f>
        <v>0</v>
      </c>
      <c r="F28" s="17" t="s">
        <v>16</v>
      </c>
      <c r="G28" s="17"/>
      <c r="I28" s="95">
        <f>(100*C28*E28)/1000</f>
        <v>0</v>
      </c>
      <c r="J28" s="17" t="s">
        <v>65</v>
      </c>
      <c r="K28" s="17"/>
      <c r="L28" s="21"/>
      <c r="M28" s="21"/>
      <c r="N28" s="21"/>
      <c r="Q28" s="22"/>
    </row>
    <row r="29" spans="1:28" s="16" customFormat="1" ht="18.75" x14ac:dyDescent="0.3">
      <c r="A29" s="14" t="s">
        <v>439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</row>
    <row r="30" spans="1:28" s="16" customFormat="1" ht="18.75" x14ac:dyDescent="0.3">
      <c r="A30" s="14" t="s">
        <v>627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</row>
    <row r="31" spans="1:28" s="19" customFormat="1" ht="19.5" x14ac:dyDescent="0.35">
      <c r="A31" s="17" t="s">
        <v>440</v>
      </c>
      <c r="B31" s="17"/>
      <c r="C31" s="18">
        <f>K25</f>
        <v>0</v>
      </c>
      <c r="D31" s="18" t="s">
        <v>15</v>
      </c>
      <c r="E31" s="18">
        <f>F13</f>
        <v>0</v>
      </c>
      <c r="F31" s="17" t="s">
        <v>16</v>
      </c>
      <c r="G31" s="17"/>
      <c r="I31" s="95">
        <f>(190*C31*E31)/1000</f>
        <v>0</v>
      </c>
      <c r="J31" s="17" t="s">
        <v>66</v>
      </c>
      <c r="K31" s="17"/>
      <c r="L31" s="21"/>
      <c r="M31" s="21"/>
      <c r="N31" s="21"/>
      <c r="O31" s="21"/>
      <c r="P31" s="21"/>
      <c r="Q31" s="23"/>
    </row>
    <row r="32" spans="1:28" s="19" customFormat="1" ht="19.5" x14ac:dyDescent="0.35">
      <c r="A32" s="17"/>
      <c r="B32" s="17"/>
      <c r="C32" s="18"/>
      <c r="D32" s="18"/>
      <c r="E32" s="18"/>
      <c r="F32" s="17"/>
      <c r="G32" s="17"/>
      <c r="I32" s="20"/>
      <c r="J32" s="17"/>
      <c r="K32" s="17"/>
      <c r="L32" s="21"/>
      <c r="M32" s="21"/>
      <c r="N32" s="21"/>
      <c r="O32" s="21"/>
      <c r="P32" s="21"/>
      <c r="Q32" s="23"/>
    </row>
    <row r="33" spans="1:17" s="52" customFormat="1" ht="18.75" x14ac:dyDescent="0.3">
      <c r="A33" s="50" t="s">
        <v>442</v>
      </c>
      <c r="Q33" s="53"/>
    </row>
    <row r="34" spans="1:17" ht="18.75" x14ac:dyDescent="0.3">
      <c r="A34" s="134" t="s">
        <v>137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06"/>
      <c r="L34" s="107"/>
      <c r="M34" s="29"/>
      <c r="N34" s="29"/>
      <c r="P34" s="29"/>
    </row>
    <row r="35" spans="1:17" s="16" customFormat="1" ht="18.75" x14ac:dyDescent="0.3">
      <c r="A35" s="14" t="s">
        <v>443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5"/>
    </row>
    <row r="36" spans="1:17" s="16" customFormat="1" ht="18.75" x14ac:dyDescent="0.3">
      <c r="A36" s="14" t="s">
        <v>628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5"/>
    </row>
    <row r="37" spans="1:17" s="19" customFormat="1" ht="19.5" x14ac:dyDescent="0.35">
      <c r="A37" s="17" t="s">
        <v>407</v>
      </c>
      <c r="B37" s="17"/>
      <c r="C37" s="18">
        <f>K34</f>
        <v>0</v>
      </c>
      <c r="D37" s="18" t="s">
        <v>15</v>
      </c>
      <c r="E37" s="18">
        <f>F13</f>
        <v>0</v>
      </c>
      <c r="F37" s="17" t="s">
        <v>16</v>
      </c>
      <c r="G37" s="17"/>
      <c r="I37" s="95">
        <f>(120*C37*E37)/1000</f>
        <v>0</v>
      </c>
      <c r="J37" s="17" t="s">
        <v>65</v>
      </c>
      <c r="K37" s="17"/>
      <c r="L37" s="21"/>
      <c r="M37" s="21"/>
      <c r="N37" s="21"/>
      <c r="Q37" s="22"/>
    </row>
    <row r="38" spans="1:17" s="16" customFormat="1" ht="18.75" x14ac:dyDescent="0.3">
      <c r="A38" s="14" t="s">
        <v>444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</row>
    <row r="39" spans="1:17" s="16" customFormat="1" ht="18.75" x14ac:dyDescent="0.3">
      <c r="A39" s="14" t="s">
        <v>629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</row>
    <row r="40" spans="1:17" s="19" customFormat="1" ht="19.5" x14ac:dyDescent="0.35">
      <c r="A40" s="17" t="s">
        <v>445</v>
      </c>
      <c r="B40" s="17"/>
      <c r="C40" s="18">
        <f>K34</f>
        <v>0</v>
      </c>
      <c r="D40" s="18" t="s">
        <v>15</v>
      </c>
      <c r="E40" s="18">
        <f>F13</f>
        <v>0</v>
      </c>
      <c r="F40" s="17" t="s">
        <v>16</v>
      </c>
      <c r="G40" s="17"/>
      <c r="I40" s="95">
        <f>(240*C40*E40)/1000</f>
        <v>0</v>
      </c>
      <c r="J40" s="17" t="s">
        <v>66</v>
      </c>
      <c r="K40" s="17"/>
      <c r="L40" s="21"/>
      <c r="M40" s="21"/>
      <c r="N40" s="21"/>
      <c r="O40" s="21"/>
      <c r="P40" s="21"/>
      <c r="Q40" s="23"/>
    </row>
    <row r="41" spans="1:17" s="19" customFormat="1" ht="19.5" x14ac:dyDescent="0.35">
      <c r="A41" s="17"/>
      <c r="B41" s="17"/>
      <c r="C41" s="18"/>
      <c r="D41" s="18"/>
      <c r="E41" s="18"/>
      <c r="F41" s="17"/>
      <c r="G41" s="17"/>
      <c r="I41" s="20"/>
      <c r="J41" s="17"/>
      <c r="K41" s="17"/>
      <c r="L41" s="21"/>
      <c r="M41" s="21"/>
      <c r="N41" s="21"/>
      <c r="O41" s="21"/>
      <c r="P41" s="21"/>
      <c r="Q41" s="23"/>
    </row>
    <row r="42" spans="1:17" s="52" customFormat="1" ht="18.75" x14ac:dyDescent="0.3">
      <c r="A42" s="50" t="s">
        <v>446</v>
      </c>
      <c r="Q42" s="53"/>
    </row>
    <row r="43" spans="1:17" ht="18.75" x14ac:dyDescent="0.3">
      <c r="A43" s="134" t="s">
        <v>137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06"/>
      <c r="L43" s="107"/>
      <c r="M43" s="29"/>
      <c r="N43" s="29"/>
      <c r="P43" s="29"/>
    </row>
    <row r="44" spans="1:17" s="16" customFormat="1" ht="18.75" x14ac:dyDescent="0.3">
      <c r="A44" s="14" t="s">
        <v>447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5"/>
    </row>
    <row r="45" spans="1:17" s="16" customFormat="1" ht="18.75" x14ac:dyDescent="0.3">
      <c r="A45" s="14" t="s">
        <v>630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5"/>
    </row>
    <row r="46" spans="1:17" s="19" customFormat="1" ht="19.5" x14ac:dyDescent="0.35">
      <c r="A46" s="17" t="s">
        <v>448</v>
      </c>
      <c r="B46" s="17"/>
      <c r="C46" s="18">
        <f>K43</f>
        <v>0</v>
      </c>
      <c r="D46" s="18" t="s">
        <v>15</v>
      </c>
      <c r="E46" s="18">
        <f>F13</f>
        <v>0</v>
      </c>
      <c r="F46" s="17" t="s">
        <v>16</v>
      </c>
      <c r="G46" s="17"/>
      <c r="I46" s="95">
        <f>(180*C46*E46)/1000</f>
        <v>0</v>
      </c>
      <c r="J46" s="17" t="s">
        <v>65</v>
      </c>
      <c r="K46" s="17"/>
      <c r="L46" s="21"/>
      <c r="M46" s="21"/>
      <c r="N46" s="21"/>
      <c r="Q46" s="22"/>
    </row>
    <row r="47" spans="1:17" s="16" customFormat="1" ht="18.75" x14ac:dyDescent="0.3">
      <c r="A47" s="14" t="s">
        <v>449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5"/>
    </row>
    <row r="48" spans="1:17" s="16" customFormat="1" ht="18.75" x14ac:dyDescent="0.3">
      <c r="A48" s="14" t="s">
        <v>631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/>
    </row>
    <row r="49" spans="1:17" s="19" customFormat="1" ht="19.5" x14ac:dyDescent="0.35">
      <c r="A49" s="17" t="s">
        <v>450</v>
      </c>
      <c r="B49" s="17"/>
      <c r="C49" s="18">
        <f>K43</f>
        <v>0</v>
      </c>
      <c r="D49" s="18" t="s">
        <v>15</v>
      </c>
      <c r="E49" s="18">
        <f>F13</f>
        <v>0</v>
      </c>
      <c r="F49" s="17" t="s">
        <v>16</v>
      </c>
      <c r="G49" s="17"/>
      <c r="I49" s="95">
        <f>(360*C49*E49)/1000</f>
        <v>0</v>
      </c>
      <c r="J49" s="17" t="s">
        <v>66</v>
      </c>
      <c r="K49" s="17"/>
      <c r="L49" s="21"/>
      <c r="M49" s="21"/>
      <c r="N49" s="21"/>
      <c r="O49" s="21"/>
      <c r="P49" s="21"/>
      <c r="Q49" s="23"/>
    </row>
    <row r="51" spans="1:17" ht="18.75" x14ac:dyDescent="0.3">
      <c r="A51" s="102" t="s">
        <v>60</v>
      </c>
      <c r="B51" s="102"/>
      <c r="C51" s="102"/>
      <c r="D51" s="102"/>
      <c r="E51" s="104">
        <f>I17+I20+I28+I31+I37+I40+I46+I49</f>
        <v>0</v>
      </c>
      <c r="F51" s="104"/>
      <c r="G51" s="104"/>
      <c r="H51" s="104"/>
      <c r="I51" s="103" t="s">
        <v>27</v>
      </c>
      <c r="J51" s="103"/>
      <c r="K51" s="103"/>
      <c r="L51" s="103"/>
    </row>
    <row r="52" spans="1:17" ht="18.75" x14ac:dyDescent="0.3">
      <c r="A52" s="26" t="s">
        <v>8</v>
      </c>
    </row>
    <row r="53" spans="1:17" ht="18.75" x14ac:dyDescent="0.3">
      <c r="A53" s="26" t="s">
        <v>149</v>
      </c>
      <c r="Q53" s="5"/>
    </row>
    <row r="54" spans="1:17" ht="12" customHeight="1" x14ac:dyDescent="0.3">
      <c r="A54" s="27"/>
    </row>
    <row r="55" spans="1:17" ht="18.75" x14ac:dyDescent="0.3">
      <c r="A55" s="26" t="s">
        <v>9</v>
      </c>
    </row>
    <row r="56" spans="1:17" ht="18.75" x14ac:dyDescent="0.3">
      <c r="A56" s="26"/>
    </row>
    <row r="57" spans="1:17" ht="18.75" x14ac:dyDescent="0.3">
      <c r="A57" s="26" t="s">
        <v>10</v>
      </c>
    </row>
  </sheetData>
  <sheetProtection sheet="1" objects="1" scenarios="1"/>
  <protectedRanges>
    <protectedRange sqref="A4 G6 J6 J8 A10 F13 K14 K25 K34 K43" name="Диапазон1"/>
  </protectedRanges>
  <mergeCells count="24">
    <mergeCell ref="A51:D51"/>
    <mergeCell ref="E51:H51"/>
    <mergeCell ref="I51:L51"/>
    <mergeCell ref="A14:J14"/>
    <mergeCell ref="K14:L14"/>
    <mergeCell ref="A25:J25"/>
    <mergeCell ref="K25:L25"/>
    <mergeCell ref="A34:J34"/>
    <mergeCell ref="K34:L34"/>
    <mergeCell ref="A43:J43"/>
    <mergeCell ref="A1:P1"/>
    <mergeCell ref="A2:P2"/>
    <mergeCell ref="A3:P3"/>
    <mergeCell ref="A4:P4"/>
    <mergeCell ref="A5:P5"/>
    <mergeCell ref="A8:I8"/>
    <mergeCell ref="J8:P8"/>
    <mergeCell ref="A10:P10"/>
    <mergeCell ref="J6:M6"/>
    <mergeCell ref="K43:L43"/>
    <mergeCell ref="A13:E13"/>
    <mergeCell ref="F13:H13"/>
    <mergeCell ref="C6:F6"/>
    <mergeCell ref="G6:H6"/>
  </mergeCells>
  <phoneticPr fontId="0" type="noConversion"/>
  <pageMargins left="0.59055118110236227" right="0.19685039370078741" top="0.59055118110236227" bottom="0.59055118110236227" header="0.51181102362204722" footer="0.51181102362204722"/>
  <pageSetup paperSize="9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>
    <pageSetUpPr fitToPage="1"/>
  </sheetPr>
  <dimension ref="A1:Q27"/>
  <sheetViews>
    <sheetView workbookViewId="0">
      <selection activeCell="K14" sqref="K14:M14"/>
    </sheetView>
  </sheetViews>
  <sheetFormatPr defaultRowHeight="12.75" x14ac:dyDescent="0.2"/>
  <cols>
    <col min="1" max="1" width="5.140625" style="5" customWidth="1"/>
    <col min="2" max="2" width="8.140625" style="5" customWidth="1"/>
    <col min="3" max="3" width="7.42578125" style="5" customWidth="1"/>
    <col min="4" max="4" width="5.140625" style="5" customWidth="1"/>
    <col min="5" max="5" width="5.85546875" style="5" customWidth="1"/>
    <col min="6" max="6" width="5.28515625" style="5" customWidth="1"/>
    <col min="7" max="7" width="6.140625" style="5" customWidth="1"/>
    <col min="8" max="8" width="11.85546875" style="5" customWidth="1"/>
    <col min="9" max="9" width="4.140625" style="5" customWidth="1"/>
    <col min="10" max="10" width="5.42578125" style="5" customWidth="1"/>
    <col min="11" max="15" width="5.140625" style="5" customWidth="1"/>
    <col min="16" max="16" width="5.28515625" style="5" customWidth="1"/>
    <col min="17" max="17" width="4.85546875" style="5" customWidth="1"/>
    <col min="18" max="22" width="5.140625" style="5" customWidth="1"/>
    <col min="23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19.5" customHeight="1" x14ac:dyDescent="0.3">
      <c r="A3" s="109" t="s">
        <v>41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17" ht="14.25" customHeight="1" x14ac:dyDescent="0.3">
      <c r="A7" s="10"/>
    </row>
    <row r="8" spans="1:17" ht="18.75" x14ac:dyDescent="0.3">
      <c r="A8" s="105" t="s">
        <v>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12"/>
      <c r="M8" s="113"/>
      <c r="N8" s="113"/>
      <c r="O8" s="113"/>
      <c r="P8" s="113"/>
      <c r="Q8" s="114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</row>
    <row r="11" spans="1:1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37"/>
      <c r="K11" s="37"/>
      <c r="L11" s="13"/>
      <c r="M11" s="13"/>
      <c r="N11" s="13"/>
      <c r="O11" s="13"/>
      <c r="P11" s="13"/>
      <c r="Q11" s="13"/>
    </row>
    <row r="12" spans="1:17" ht="18.75" x14ac:dyDescent="0.3">
      <c r="A12" s="105" t="s">
        <v>42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6"/>
      <c r="L12" s="108"/>
      <c r="M12" s="107"/>
    </row>
    <row r="13" spans="1:17" ht="8.25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7" ht="18.75" x14ac:dyDescent="0.3">
      <c r="A14" s="105" t="s">
        <v>43</v>
      </c>
      <c r="B14" s="105"/>
      <c r="C14" s="105"/>
      <c r="D14" s="105"/>
      <c r="E14" s="105"/>
      <c r="F14" s="105"/>
      <c r="G14" s="105"/>
      <c r="H14" s="105"/>
      <c r="I14" s="105"/>
      <c r="J14" s="115"/>
      <c r="K14" s="106"/>
      <c r="L14" s="108"/>
      <c r="M14" s="107"/>
    </row>
    <row r="15" spans="1:17" ht="8.25" customHeight="1" x14ac:dyDescent="0.3">
      <c r="A15" s="38" t="s">
        <v>4</v>
      </c>
      <c r="G15" s="10"/>
      <c r="H15" s="10"/>
    </row>
    <row r="16" spans="1:17" s="16" customFormat="1" ht="18.75" x14ac:dyDescent="0.3">
      <c r="A16" s="11" t="s">
        <v>45</v>
      </c>
      <c r="B16" s="11"/>
      <c r="C16" s="11"/>
      <c r="D16" s="11"/>
      <c r="E16" s="11"/>
      <c r="F16" s="11"/>
      <c r="G16" s="11"/>
      <c r="H16" s="11"/>
      <c r="I16" s="11"/>
      <c r="J16" s="11"/>
    </row>
    <row r="17" spans="1:17" s="16" customFormat="1" ht="18.75" x14ac:dyDescent="0.3">
      <c r="A17" s="105" t="s">
        <v>44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s="19" customFormat="1" ht="19.5" x14ac:dyDescent="0.35">
      <c r="A18" s="17" t="s">
        <v>46</v>
      </c>
      <c r="B18" s="17"/>
      <c r="C18" s="18">
        <f>K12</f>
        <v>0</v>
      </c>
      <c r="D18" s="18" t="s">
        <v>15</v>
      </c>
      <c r="E18" s="18">
        <f>K14</f>
        <v>0</v>
      </c>
      <c r="F18" s="17" t="s">
        <v>16</v>
      </c>
      <c r="G18" s="17"/>
      <c r="H18" s="95">
        <f>(100*C18*E18)/1000</f>
        <v>0</v>
      </c>
      <c r="I18" s="17" t="s">
        <v>17</v>
      </c>
      <c r="J18" s="17"/>
      <c r="K18" s="21"/>
      <c r="L18" s="21"/>
      <c r="M18" s="21"/>
      <c r="N18" s="21"/>
      <c r="O18" s="21"/>
      <c r="P18" s="21"/>
      <c r="Q18" s="21"/>
    </row>
    <row r="19" spans="1:17" ht="18.75" x14ac:dyDescent="0.3">
      <c r="A19" s="38"/>
    </row>
    <row r="20" spans="1:17" ht="18.75" x14ac:dyDescent="0.3">
      <c r="A20" s="102" t="s">
        <v>26</v>
      </c>
      <c r="B20" s="102"/>
      <c r="C20" s="102"/>
      <c r="D20" s="102"/>
      <c r="E20" s="104">
        <f>H18</f>
        <v>0</v>
      </c>
      <c r="F20" s="104"/>
      <c r="G20" s="104"/>
      <c r="H20" s="104"/>
      <c r="I20" s="103" t="s">
        <v>27</v>
      </c>
      <c r="J20" s="103"/>
      <c r="K20" s="103"/>
      <c r="L20" s="103"/>
    </row>
    <row r="21" spans="1:17" ht="18.75" x14ac:dyDescent="0.3">
      <c r="A21" s="26"/>
    </row>
    <row r="22" spans="1:17" ht="18.75" x14ac:dyDescent="0.3">
      <c r="A22" s="26" t="s">
        <v>8</v>
      </c>
    </row>
    <row r="23" spans="1:17" ht="18.75" x14ac:dyDescent="0.3">
      <c r="A23" s="26" t="s">
        <v>149</v>
      </c>
    </row>
    <row r="24" spans="1:17" ht="12" customHeight="1" x14ac:dyDescent="0.3">
      <c r="A24" s="27"/>
    </row>
    <row r="25" spans="1:17" ht="18.75" x14ac:dyDescent="0.3">
      <c r="A25" s="26" t="s">
        <v>9</v>
      </c>
    </row>
    <row r="26" spans="1:17" ht="18.75" x14ac:dyDescent="0.3">
      <c r="A26" s="26"/>
    </row>
    <row r="27" spans="1:17" ht="18.75" x14ac:dyDescent="0.3">
      <c r="A27" s="26" t="s">
        <v>10</v>
      </c>
    </row>
  </sheetData>
  <sheetProtection password="CA9C" sheet="1" objects="1" scenarios="1"/>
  <protectedRanges>
    <protectedRange sqref="A4 G6 J6 L8 A10 K12 K14" name="Диапазон1"/>
  </protectedRanges>
  <mergeCells count="19">
    <mergeCell ref="A20:D20"/>
    <mergeCell ref="I20:L20"/>
    <mergeCell ref="E20:H20"/>
    <mergeCell ref="A17:Q17"/>
    <mergeCell ref="A14:J14"/>
    <mergeCell ref="K14:M14"/>
    <mergeCell ref="A10:Q10"/>
    <mergeCell ref="A5:Q5"/>
    <mergeCell ref="A4:Q4"/>
    <mergeCell ref="A12:J12"/>
    <mergeCell ref="A1:Q1"/>
    <mergeCell ref="A2:Q2"/>
    <mergeCell ref="A3:Q3"/>
    <mergeCell ref="K12:M12"/>
    <mergeCell ref="A8:K8"/>
    <mergeCell ref="C6:F6"/>
    <mergeCell ref="G6:H6"/>
    <mergeCell ref="J6:M6"/>
    <mergeCell ref="L8:Q8"/>
  </mergeCells>
  <phoneticPr fontId="0" type="noConversion"/>
  <pageMargins left="0.78740157480314965" right="0.39370078740157483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28">
    <pageSetUpPr fitToPage="1"/>
  </sheetPr>
  <dimension ref="A1:Y37"/>
  <sheetViews>
    <sheetView topLeftCell="A19" workbookViewId="0">
      <selection activeCell="O12" sqref="O12:P12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8.5703125" style="5" customWidth="1"/>
    <col min="9" max="9" width="11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9" customWidth="1"/>
    <col min="18" max="18" width="3.7109375" style="5" customWidth="1"/>
    <col min="19" max="20" width="6.42578125" style="5" customWidth="1"/>
    <col min="21" max="21" width="8.7109375" style="5" customWidth="1"/>
    <col min="22" max="24" width="6.4257812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6"/>
      <c r="S2" s="16"/>
      <c r="T2" s="16"/>
      <c r="U2" s="16"/>
      <c r="V2" s="16"/>
      <c r="W2" s="16"/>
      <c r="X2" s="16"/>
      <c r="Y2" s="16"/>
    </row>
    <row r="3" spans="1:25" ht="18.75" customHeight="1" x14ac:dyDescent="0.3">
      <c r="A3" s="124" t="s">
        <v>142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R6" s="16"/>
      <c r="S6" s="16"/>
      <c r="T6" s="16"/>
      <c r="U6" s="16"/>
      <c r="V6" s="16"/>
      <c r="W6" s="16"/>
      <c r="X6" s="16"/>
      <c r="Y6" s="16"/>
    </row>
    <row r="7" spans="1:25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</row>
    <row r="8" spans="1:25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6"/>
      <c r="S9" s="16"/>
      <c r="T9" s="16"/>
      <c r="U9" s="16"/>
      <c r="V9" s="16"/>
      <c r="W9" s="16"/>
      <c r="X9" s="16"/>
      <c r="Y9" s="16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</row>
    <row r="12" spans="1:25" ht="18.75" x14ac:dyDescent="0.3">
      <c r="A12" s="105" t="s">
        <v>139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  <c r="P12" s="107"/>
      <c r="R12" s="16"/>
      <c r="S12" s="16"/>
      <c r="T12" s="16"/>
      <c r="U12" s="16"/>
      <c r="V12" s="16"/>
      <c r="W12" s="16"/>
      <c r="X12" s="16"/>
      <c r="Y12" s="16"/>
    </row>
    <row r="13" spans="1:25" ht="6" customHeight="1" x14ac:dyDescent="0.3">
      <c r="A13" s="11"/>
      <c r="B13" s="11"/>
      <c r="C13" s="11"/>
      <c r="D13" s="11"/>
      <c r="J13" s="9"/>
      <c r="R13" s="16"/>
      <c r="S13" s="16"/>
      <c r="T13" s="16"/>
      <c r="U13" s="16"/>
      <c r="V13" s="16"/>
      <c r="W13" s="16"/>
      <c r="X13" s="16"/>
      <c r="Y13" s="16"/>
    </row>
    <row r="14" spans="1:25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  <c r="R14" s="16"/>
      <c r="S14" s="16"/>
      <c r="T14" s="16"/>
      <c r="U14" s="16"/>
      <c r="V14" s="16"/>
      <c r="W14" s="16"/>
      <c r="X14" s="16"/>
      <c r="Y14" s="16"/>
    </row>
    <row r="15" spans="1:25" s="16" customFormat="1" ht="18.75" x14ac:dyDescent="0.3">
      <c r="A15" s="14" t="s">
        <v>325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25" s="16" customFormat="1" ht="18.75" x14ac:dyDescent="0.3">
      <c r="A16" s="14" t="s">
        <v>538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84</v>
      </c>
      <c r="B17" s="17"/>
      <c r="C17" s="18">
        <f>O12</f>
        <v>0</v>
      </c>
      <c r="D17" s="18" t="s">
        <v>15</v>
      </c>
      <c r="E17" s="18">
        <f>F14</f>
        <v>0</v>
      </c>
      <c r="F17" s="17" t="s">
        <v>16</v>
      </c>
      <c r="G17" s="17"/>
      <c r="I17" s="95">
        <f>(7*C17*E17)/1000</f>
        <v>0</v>
      </c>
      <c r="J17" s="17" t="s">
        <v>65</v>
      </c>
      <c r="K17" s="17"/>
      <c r="L17" s="21"/>
      <c r="M17" s="21"/>
      <c r="N17" s="21"/>
      <c r="Q17" s="22"/>
    </row>
    <row r="18" spans="1:17" s="16" customFormat="1" ht="18.75" x14ac:dyDescent="0.3">
      <c r="A18" s="14" t="s">
        <v>220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6" customFormat="1" ht="18.75" x14ac:dyDescent="0.3">
      <c r="A19" s="14" t="s">
        <v>539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17" s="19" customFormat="1" ht="19.5" x14ac:dyDescent="0.35">
      <c r="A20" s="17" t="s">
        <v>198</v>
      </c>
      <c r="B20" s="17"/>
      <c r="C20" s="18">
        <f>O12</f>
        <v>0</v>
      </c>
      <c r="D20" s="18" t="s">
        <v>15</v>
      </c>
      <c r="E20" s="18">
        <f>F14</f>
        <v>0</v>
      </c>
      <c r="F20" s="17" t="s">
        <v>16</v>
      </c>
      <c r="G20" s="17"/>
      <c r="I20" s="95">
        <f>(5*C20*E20)/1000</f>
        <v>0</v>
      </c>
      <c r="J20" s="17" t="s">
        <v>66</v>
      </c>
      <c r="K20" s="17"/>
      <c r="L20" s="21"/>
      <c r="M20" s="21"/>
      <c r="N20" s="21"/>
      <c r="O20" s="21"/>
      <c r="P20" s="21"/>
      <c r="Q20" s="23"/>
    </row>
    <row r="21" spans="1:17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2"/>
    </row>
    <row r="22" spans="1:17" ht="18.75" x14ac:dyDescent="0.3">
      <c r="A22" s="28" t="s">
        <v>140</v>
      </c>
      <c r="B22" s="28"/>
      <c r="C22" s="28"/>
      <c r="D22" s="28"/>
      <c r="E22" s="28"/>
      <c r="F22" s="28"/>
      <c r="G22" s="28"/>
      <c r="H22" s="28"/>
    </row>
    <row r="23" spans="1:17" ht="18.75" x14ac:dyDescent="0.3">
      <c r="A23" s="105" t="s">
        <v>141</v>
      </c>
      <c r="B23" s="105"/>
      <c r="C23" s="105"/>
      <c r="D23" s="105"/>
      <c r="E23" s="105"/>
      <c r="F23" s="105"/>
      <c r="G23" s="105"/>
      <c r="H23" s="105"/>
      <c r="I23" s="105"/>
      <c r="J23" s="106"/>
      <c r="K23" s="108"/>
      <c r="L23" s="107"/>
      <c r="M23" s="14"/>
    </row>
    <row r="24" spans="1:17" s="16" customFormat="1" ht="18.75" x14ac:dyDescent="0.3">
      <c r="A24" s="14" t="s">
        <v>451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</row>
    <row r="25" spans="1:17" s="16" customFormat="1" ht="18.75" x14ac:dyDescent="0.3">
      <c r="A25" s="14" t="s">
        <v>540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/>
    </row>
    <row r="26" spans="1:17" s="19" customFormat="1" ht="19.5" x14ac:dyDescent="0.35">
      <c r="A26" s="17" t="s">
        <v>187</v>
      </c>
      <c r="B26" s="17"/>
      <c r="C26" s="18">
        <f>J23</f>
        <v>0</v>
      </c>
      <c r="D26" s="18" t="s">
        <v>15</v>
      </c>
      <c r="E26" s="18">
        <f>F14</f>
        <v>0</v>
      </c>
      <c r="F26" s="17" t="s">
        <v>16</v>
      </c>
      <c r="G26" s="17"/>
      <c r="I26" s="95">
        <f>(255*C26*E26)/1000</f>
        <v>0</v>
      </c>
      <c r="J26" s="17" t="s">
        <v>65</v>
      </c>
      <c r="K26" s="17"/>
      <c r="L26" s="21"/>
      <c r="M26" s="21"/>
      <c r="N26" s="21"/>
      <c r="Q26" s="22"/>
    </row>
    <row r="27" spans="1:17" s="16" customFormat="1" ht="18.75" x14ac:dyDescent="0.3">
      <c r="A27" s="14" t="s">
        <v>452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</row>
    <row r="28" spans="1:17" s="16" customFormat="1" ht="18.75" x14ac:dyDescent="0.3">
      <c r="A28" s="14" t="s">
        <v>541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/>
    </row>
    <row r="29" spans="1:17" s="19" customFormat="1" ht="19.5" x14ac:dyDescent="0.35">
      <c r="A29" s="17" t="s">
        <v>189</v>
      </c>
      <c r="B29" s="17"/>
      <c r="C29" s="18">
        <f>J23</f>
        <v>0</v>
      </c>
      <c r="D29" s="18" t="s">
        <v>15</v>
      </c>
      <c r="E29" s="18">
        <f>F14</f>
        <v>0</v>
      </c>
      <c r="F29" s="17" t="s">
        <v>16</v>
      </c>
      <c r="G29" s="17"/>
      <c r="I29" s="95">
        <f>(55*C29*E29)/1000</f>
        <v>0</v>
      </c>
      <c r="J29" s="17" t="s">
        <v>66</v>
      </c>
      <c r="K29" s="17"/>
      <c r="L29" s="21"/>
      <c r="M29" s="21"/>
      <c r="N29" s="21"/>
      <c r="O29" s="21"/>
      <c r="P29" s="21"/>
      <c r="Q29" s="23"/>
    </row>
    <row r="31" spans="1:17" ht="18.75" x14ac:dyDescent="0.3">
      <c r="A31" s="102" t="s">
        <v>60</v>
      </c>
      <c r="B31" s="102"/>
      <c r="C31" s="102"/>
      <c r="D31" s="102"/>
      <c r="E31" s="104">
        <f>I17+I20+I26+I29</f>
        <v>0</v>
      </c>
      <c r="F31" s="104"/>
      <c r="G31" s="104"/>
      <c r="H31" s="104"/>
      <c r="I31" s="103" t="s">
        <v>27</v>
      </c>
      <c r="J31" s="103"/>
      <c r="K31" s="103"/>
      <c r="L31" s="103"/>
    </row>
    <row r="32" spans="1:17" ht="18.75" x14ac:dyDescent="0.3">
      <c r="A32" s="26" t="s">
        <v>8</v>
      </c>
    </row>
    <row r="33" spans="1:17" ht="18.75" x14ac:dyDescent="0.3">
      <c r="A33" s="26" t="s">
        <v>149</v>
      </c>
      <c r="Q33" s="5"/>
    </row>
    <row r="34" spans="1:17" ht="12" customHeight="1" x14ac:dyDescent="0.3">
      <c r="A34" s="27"/>
    </row>
    <row r="35" spans="1:17" ht="18.75" x14ac:dyDescent="0.3">
      <c r="A35" s="26" t="s">
        <v>9</v>
      </c>
    </row>
    <row r="36" spans="1:17" ht="18.75" x14ac:dyDescent="0.3">
      <c r="A36" s="26"/>
    </row>
    <row r="37" spans="1:17" ht="18.75" x14ac:dyDescent="0.3">
      <c r="A37" s="26" t="s">
        <v>10</v>
      </c>
    </row>
  </sheetData>
  <sheetProtection password="CA9C" sheet="1" objects="1" scenarios="1"/>
  <protectedRanges>
    <protectedRange sqref="A4 G6 J6 J8 A10 O12 F14 J23" name="Диапазон1"/>
  </protectedRanges>
  <mergeCells count="20">
    <mergeCell ref="A31:D31"/>
    <mergeCell ref="E31:H31"/>
    <mergeCell ref="I31:L31"/>
    <mergeCell ref="J6:M6"/>
    <mergeCell ref="J8:P8"/>
    <mergeCell ref="A23:I23"/>
    <mergeCell ref="J23:L23"/>
    <mergeCell ref="A8:I8"/>
    <mergeCell ref="C6:F6"/>
    <mergeCell ref="G6:H6"/>
    <mergeCell ref="A10:P10"/>
    <mergeCell ref="A14:E14"/>
    <mergeCell ref="F14:H14"/>
    <mergeCell ref="O12:P12"/>
    <mergeCell ref="A12:N12"/>
    <mergeCell ref="A1:P1"/>
    <mergeCell ref="A2:P2"/>
    <mergeCell ref="A3:P3"/>
    <mergeCell ref="A4:P4"/>
    <mergeCell ref="A5:P5"/>
  </mergeCells>
  <phoneticPr fontId="0" type="noConversion"/>
  <pageMargins left="0.59055118110236227" right="0.19685039370078741" top="0.59055118110236227" bottom="0.59055118110236227" header="0.51181102362204722" footer="0.51181102362204722"/>
  <pageSetup paperSize="9" fitToHeight="0" orientation="portrait" verticalDpi="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30">
    <pageSetUpPr fitToPage="1"/>
  </sheetPr>
  <dimension ref="A1:Q26"/>
  <sheetViews>
    <sheetView topLeftCell="A7" workbookViewId="0">
      <selection activeCell="F12" sqref="F12:H12"/>
    </sheetView>
  </sheetViews>
  <sheetFormatPr defaultRowHeight="12.75" x14ac:dyDescent="0.2"/>
  <cols>
    <col min="1" max="1" width="5.140625" style="5" customWidth="1"/>
    <col min="2" max="2" width="5.85546875" style="5" customWidth="1"/>
    <col min="3" max="3" width="9.28515625" style="5" bestFit="1" customWidth="1"/>
    <col min="4" max="4" width="5.85546875" style="5" customWidth="1"/>
    <col min="5" max="5" width="18.5703125" style="5" customWidth="1"/>
    <col min="6" max="6" width="2.5703125" style="5" customWidth="1"/>
    <col min="7" max="7" width="2.85546875" style="5" customWidth="1"/>
    <col min="8" max="8" width="8.5703125" style="5" customWidth="1"/>
    <col min="9" max="9" width="9" style="5" customWidth="1"/>
    <col min="10" max="10" width="3.5703125" style="5" customWidth="1"/>
    <col min="11" max="11" width="4" style="5" customWidth="1"/>
    <col min="12" max="12" width="4.5703125" style="5" customWidth="1"/>
    <col min="13" max="13" width="2.140625" style="5" customWidth="1"/>
    <col min="14" max="14" width="1.85546875" style="5" customWidth="1"/>
    <col min="15" max="15" width="2.140625" style="5" customWidth="1"/>
    <col min="16" max="16" width="1.5703125" style="5" customWidth="1"/>
    <col min="17" max="17" width="7.7109375" style="9" customWidth="1"/>
    <col min="18" max="18" width="7" style="5" customWidth="1"/>
    <col min="19" max="19" width="3.85546875" style="5" customWidth="1"/>
    <col min="20" max="24" width="7" style="5" customWidth="1"/>
    <col min="25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</row>
    <row r="3" spans="1:17" ht="36.75" customHeight="1" x14ac:dyDescent="0.3">
      <c r="A3" s="124" t="s">
        <v>453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1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</row>
    <row r="7" spans="1:17" ht="14.25" customHeight="1" x14ac:dyDescent="0.3">
      <c r="A7" s="10"/>
    </row>
    <row r="8" spans="1:17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1:1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</row>
    <row r="11" spans="1:1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8.75" x14ac:dyDescent="0.3">
      <c r="A12" s="105" t="s">
        <v>454</v>
      </c>
      <c r="B12" s="105"/>
      <c r="C12" s="105"/>
      <c r="D12" s="105"/>
      <c r="E12" s="105"/>
      <c r="F12" s="106"/>
      <c r="G12" s="108"/>
      <c r="H12" s="107"/>
      <c r="I12" s="14"/>
      <c r="J12" s="14"/>
      <c r="K12" s="14"/>
      <c r="L12" s="14"/>
      <c r="M12" s="14"/>
    </row>
    <row r="13" spans="1:17" ht="6" customHeight="1" x14ac:dyDescent="0.3">
      <c r="A13" s="11"/>
      <c r="B13" s="11"/>
      <c r="C13" s="11"/>
      <c r="D13" s="11"/>
      <c r="J13" s="9"/>
    </row>
    <row r="14" spans="1:17" ht="18.75" x14ac:dyDescent="0.3">
      <c r="A14" s="105" t="s">
        <v>458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</row>
    <row r="15" spans="1:17" s="16" customFormat="1" ht="18.75" x14ac:dyDescent="0.3">
      <c r="A15" s="14" t="s">
        <v>455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</row>
    <row r="16" spans="1:17" s="16" customFormat="1" ht="18.75" x14ac:dyDescent="0.3">
      <c r="A16" s="14" t="s">
        <v>456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17" s="19" customFormat="1" ht="19.5" x14ac:dyDescent="0.35">
      <c r="A17" s="17" t="s">
        <v>457</v>
      </c>
      <c r="B17" s="17"/>
      <c r="C17" s="18">
        <f>F12</f>
        <v>0</v>
      </c>
      <c r="D17" s="18" t="s">
        <v>15</v>
      </c>
      <c r="E17" s="18">
        <f>F14</f>
        <v>0</v>
      </c>
      <c r="F17" s="17" t="s">
        <v>16</v>
      </c>
      <c r="G17" s="17"/>
      <c r="I17" s="95">
        <f>(0.5*C17*E17)/1000</f>
        <v>0</v>
      </c>
      <c r="J17" s="17" t="s">
        <v>65</v>
      </c>
      <c r="K17" s="17"/>
      <c r="L17" s="21"/>
      <c r="M17" s="21"/>
      <c r="N17" s="21"/>
      <c r="Q17" s="22"/>
    </row>
    <row r="18" spans="1:17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2"/>
    </row>
    <row r="20" spans="1:17" ht="18.75" x14ac:dyDescent="0.3">
      <c r="A20" s="102" t="s">
        <v>60</v>
      </c>
      <c r="B20" s="102"/>
      <c r="C20" s="102"/>
      <c r="D20" s="102"/>
      <c r="E20" s="104">
        <f>I17</f>
        <v>0</v>
      </c>
      <c r="F20" s="104"/>
      <c r="G20" s="104"/>
      <c r="H20" s="104"/>
      <c r="I20" s="103" t="s">
        <v>27</v>
      </c>
      <c r="J20" s="103"/>
      <c r="K20" s="103"/>
      <c r="L20" s="103"/>
    </row>
    <row r="21" spans="1:17" ht="18.75" x14ac:dyDescent="0.3">
      <c r="A21" s="26" t="s">
        <v>8</v>
      </c>
    </row>
    <row r="22" spans="1:17" ht="18.75" x14ac:dyDescent="0.3">
      <c r="A22" s="26" t="s">
        <v>149</v>
      </c>
    </row>
    <row r="23" spans="1:17" ht="12" customHeight="1" x14ac:dyDescent="0.3">
      <c r="A23" s="27"/>
    </row>
    <row r="24" spans="1:17" ht="18.75" x14ac:dyDescent="0.3">
      <c r="A24" s="26" t="s">
        <v>9</v>
      </c>
    </row>
    <row r="25" spans="1:17" ht="18.75" x14ac:dyDescent="0.3">
      <c r="A25" s="26"/>
    </row>
    <row r="26" spans="1:17" ht="18.75" x14ac:dyDescent="0.3">
      <c r="A26" s="26" t="s">
        <v>10</v>
      </c>
    </row>
  </sheetData>
  <sheetProtection sheet="1" objects="1" scenarios="1"/>
  <protectedRanges>
    <protectedRange sqref="A4 G6 J6 J8 A10 F12 F14" name="Диапазон1"/>
  </protectedRanges>
  <mergeCells count="18">
    <mergeCell ref="A20:D20"/>
    <mergeCell ref="E20:H20"/>
    <mergeCell ref="I20:L20"/>
    <mergeCell ref="J6:M6"/>
    <mergeCell ref="A10:P10"/>
    <mergeCell ref="C6:F6"/>
    <mergeCell ref="G6:H6"/>
    <mergeCell ref="J8:P8"/>
    <mergeCell ref="A8:I8"/>
    <mergeCell ref="A14:E14"/>
    <mergeCell ref="F14:H14"/>
    <mergeCell ref="A12:E12"/>
    <mergeCell ref="F12:H12"/>
    <mergeCell ref="A1:P1"/>
    <mergeCell ref="A2:P2"/>
    <mergeCell ref="A3:P3"/>
    <mergeCell ref="A4:P4"/>
    <mergeCell ref="A5:P5"/>
  </mergeCells>
  <phoneticPr fontId="0" type="noConversion"/>
  <pageMargins left="0.59055118110236227" right="0.19685039370078741" top="0.59055118110236227" bottom="0.59055118110236227" header="0.51181102362204722" footer="0.51181102362204722"/>
  <pageSetup paperSize="9" fitToHeight="0" orientation="portrait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46"/>
  <sheetViews>
    <sheetView topLeftCell="A10" workbookViewId="0">
      <selection activeCell="F14" sqref="F14:H14"/>
    </sheetView>
  </sheetViews>
  <sheetFormatPr defaultRowHeight="12.75" x14ac:dyDescent="0.2"/>
  <cols>
    <col min="2" max="2" width="4.7109375" customWidth="1"/>
    <col min="3" max="3" width="7.85546875" customWidth="1"/>
    <col min="4" max="4" width="5.7109375" customWidth="1"/>
    <col min="5" max="5" width="6.85546875" customWidth="1"/>
    <col min="6" max="6" width="10.5703125" customWidth="1"/>
  </cols>
  <sheetData>
    <row r="1" spans="1:19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35"/>
      <c r="L1" s="99"/>
      <c r="M1" s="99"/>
      <c r="N1" s="99"/>
      <c r="O1" s="99"/>
      <c r="P1" s="99"/>
      <c r="Q1" s="99"/>
      <c r="R1" s="99"/>
      <c r="S1" s="99"/>
    </row>
    <row r="2" spans="1:19" ht="18.75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35"/>
      <c r="L2" s="99"/>
      <c r="M2" s="99"/>
      <c r="N2" s="99"/>
      <c r="O2" s="99"/>
      <c r="P2" s="99"/>
      <c r="Q2" s="99"/>
      <c r="R2" s="99"/>
      <c r="S2" s="99"/>
    </row>
    <row r="3" spans="1:19" ht="18.75" x14ac:dyDescent="0.3">
      <c r="A3" s="150" t="s">
        <v>471</v>
      </c>
      <c r="B3" s="150"/>
      <c r="C3" s="150"/>
      <c r="D3" s="150"/>
      <c r="E3" s="150"/>
      <c r="F3" s="150"/>
      <c r="G3" s="150"/>
      <c r="H3" s="150"/>
      <c r="I3" s="150"/>
      <c r="J3" s="35"/>
      <c r="K3" s="35"/>
      <c r="L3" s="99"/>
      <c r="M3" s="99"/>
      <c r="N3" s="99"/>
      <c r="O3" s="99"/>
      <c r="P3" s="99"/>
      <c r="Q3" s="99"/>
      <c r="R3" s="99"/>
      <c r="S3" s="99"/>
    </row>
    <row r="4" spans="1:19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7"/>
      <c r="L4" s="99"/>
      <c r="M4" s="99"/>
      <c r="N4" s="99"/>
      <c r="O4" s="99"/>
      <c r="P4" s="99"/>
      <c r="Q4" s="99"/>
      <c r="R4" s="99"/>
      <c r="S4" s="99"/>
    </row>
    <row r="5" spans="1:19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94"/>
      <c r="L5" s="99"/>
      <c r="M5" s="99"/>
      <c r="N5" s="99"/>
      <c r="O5" s="99"/>
      <c r="P5" s="99"/>
      <c r="Q5" s="99"/>
      <c r="R5" s="99"/>
      <c r="S5" s="99"/>
    </row>
    <row r="6" spans="1:19" ht="18.75" x14ac:dyDescent="0.3">
      <c r="A6" s="151" t="s">
        <v>28</v>
      </c>
      <c r="B6" s="151"/>
      <c r="C6" s="151"/>
      <c r="D6" s="152"/>
      <c r="E6" s="79"/>
      <c r="F6" s="81"/>
      <c r="G6" s="8" t="s">
        <v>29</v>
      </c>
      <c r="H6" s="106"/>
      <c r="I6" s="108"/>
      <c r="J6" s="108"/>
      <c r="K6" s="107"/>
      <c r="L6" s="99"/>
      <c r="M6" s="99"/>
      <c r="N6" s="99"/>
      <c r="O6" s="99"/>
      <c r="P6" s="99"/>
      <c r="Q6" s="99"/>
      <c r="R6" s="99"/>
      <c r="S6" s="99"/>
    </row>
    <row r="7" spans="1:19" ht="18.75" x14ac:dyDescent="0.3">
      <c r="A7" s="10"/>
      <c r="B7" s="5"/>
      <c r="C7" s="5"/>
      <c r="D7" s="5"/>
      <c r="E7" s="5"/>
      <c r="F7" s="5"/>
      <c r="G7" s="5"/>
      <c r="H7" s="5"/>
      <c r="I7" s="5"/>
      <c r="J7" s="5"/>
      <c r="K7" s="5"/>
      <c r="L7" s="99"/>
      <c r="M7" s="99"/>
      <c r="N7" s="99"/>
      <c r="O7" s="99"/>
      <c r="P7" s="99"/>
      <c r="Q7" s="99"/>
      <c r="R7" s="99"/>
      <c r="S7" s="99"/>
    </row>
    <row r="8" spans="1:19" ht="18.75" x14ac:dyDescent="0.3">
      <c r="A8" s="140" t="s">
        <v>3</v>
      </c>
      <c r="B8" s="140"/>
      <c r="C8" s="140"/>
      <c r="D8" s="140"/>
      <c r="E8" s="140"/>
      <c r="F8" s="140"/>
      <c r="G8" s="140"/>
      <c r="H8" s="112"/>
      <c r="I8" s="113"/>
      <c r="J8" s="113"/>
      <c r="K8" s="114"/>
      <c r="L8" s="99"/>
      <c r="M8" s="99"/>
      <c r="N8" s="99"/>
      <c r="O8" s="99"/>
      <c r="P8" s="99"/>
      <c r="Q8" s="99"/>
      <c r="R8" s="99"/>
      <c r="S8" s="99"/>
    </row>
    <row r="9" spans="1:19" ht="18.7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99"/>
      <c r="M9" s="99"/>
      <c r="N9" s="99"/>
      <c r="O9" s="99"/>
      <c r="P9" s="99"/>
      <c r="Q9" s="99"/>
      <c r="R9" s="99"/>
      <c r="S9" s="99"/>
    </row>
    <row r="10" spans="1:19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7"/>
      <c r="L10" s="99"/>
      <c r="M10" s="99"/>
      <c r="N10" s="99"/>
      <c r="O10" s="99"/>
      <c r="P10" s="99"/>
      <c r="Q10" s="99"/>
      <c r="R10" s="99"/>
      <c r="S10" s="99"/>
    </row>
    <row r="11" spans="1:1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99"/>
      <c r="M11" s="99"/>
      <c r="N11" s="99"/>
      <c r="O11" s="99"/>
      <c r="P11" s="99"/>
      <c r="Q11" s="99"/>
      <c r="R11" s="99"/>
      <c r="S11" s="99"/>
    </row>
    <row r="12" spans="1:19" x14ac:dyDescent="0.2">
      <c r="A12" s="153" t="s">
        <v>476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99"/>
      <c r="M12" s="99"/>
      <c r="N12" s="99"/>
      <c r="O12" s="99"/>
      <c r="P12" s="99"/>
      <c r="Q12" s="99"/>
      <c r="R12" s="99"/>
      <c r="S12" s="99"/>
    </row>
    <row r="13" spans="1:19" x14ac:dyDescent="0.2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99"/>
      <c r="M13" s="99"/>
      <c r="N13" s="99"/>
      <c r="O13" s="99"/>
      <c r="P13" s="99"/>
      <c r="Q13" s="99"/>
      <c r="R13" s="99"/>
      <c r="S13" s="99"/>
    </row>
    <row r="14" spans="1:19" ht="18.75" x14ac:dyDescent="0.3">
      <c r="A14" s="105" t="s">
        <v>619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8"/>
      <c r="K14" s="98"/>
      <c r="L14" s="99"/>
      <c r="M14" s="99"/>
      <c r="N14" s="99"/>
      <c r="O14" s="99"/>
      <c r="P14" s="99"/>
      <c r="Q14" s="99"/>
      <c r="R14" s="99"/>
      <c r="S14" s="99"/>
    </row>
    <row r="15" spans="1:19" ht="18.75" x14ac:dyDescent="0.3">
      <c r="A15" s="105" t="s">
        <v>39</v>
      </c>
      <c r="B15" s="105"/>
      <c r="C15" s="105"/>
      <c r="D15" s="105"/>
      <c r="E15" s="105"/>
      <c r="F15" s="105"/>
      <c r="G15" s="106"/>
      <c r="H15" s="107"/>
      <c r="I15" s="15"/>
      <c r="J15" s="9"/>
      <c r="K15" s="5"/>
      <c r="L15" s="99"/>
      <c r="M15" s="99"/>
      <c r="N15" s="99"/>
      <c r="O15" s="99"/>
      <c r="P15" s="99"/>
      <c r="Q15" s="99"/>
      <c r="R15" s="99"/>
      <c r="S15" s="99"/>
    </row>
    <row r="16" spans="1:19" ht="18.75" x14ac:dyDescent="0.3">
      <c r="A16" s="105" t="s">
        <v>472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99"/>
      <c r="M16" s="99"/>
      <c r="N16" s="99"/>
      <c r="O16" s="99"/>
      <c r="P16" s="99"/>
      <c r="Q16" s="99"/>
      <c r="R16" s="99"/>
      <c r="S16" s="99"/>
    </row>
    <row r="17" spans="1:19" ht="18.75" x14ac:dyDescent="0.3">
      <c r="A17" s="105" t="s">
        <v>473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99"/>
      <c r="M17" s="99"/>
      <c r="N17" s="99"/>
      <c r="O17" s="99"/>
      <c r="P17" s="99"/>
      <c r="Q17" s="99"/>
      <c r="R17" s="99"/>
      <c r="S17" s="99"/>
    </row>
    <row r="18" spans="1:19" ht="19.5" x14ac:dyDescent="0.35">
      <c r="A18" s="116" t="s">
        <v>347</v>
      </c>
      <c r="B18" s="116"/>
      <c r="C18" s="18">
        <f>G15</f>
        <v>0</v>
      </c>
      <c r="D18" s="18" t="s">
        <v>15</v>
      </c>
      <c r="E18" s="18">
        <f>F14</f>
        <v>0</v>
      </c>
      <c r="F18" s="17" t="s">
        <v>16</v>
      </c>
      <c r="G18" s="125">
        <f>(80*C18*E18)/1000</f>
        <v>0</v>
      </c>
      <c r="H18" s="125"/>
      <c r="I18" s="17" t="s">
        <v>17</v>
      </c>
      <c r="J18" s="17"/>
      <c r="K18" s="21"/>
      <c r="L18" s="99"/>
      <c r="M18" s="99"/>
      <c r="N18" s="99"/>
      <c r="O18" s="99"/>
      <c r="P18" s="99"/>
      <c r="Q18" s="99"/>
      <c r="R18" s="99"/>
      <c r="S18" s="99"/>
    </row>
    <row r="19" spans="1:19" ht="18.75" x14ac:dyDescent="0.3">
      <c r="A19" s="105" t="s">
        <v>474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99"/>
      <c r="M19" s="99"/>
      <c r="N19" s="99"/>
      <c r="O19" s="99"/>
      <c r="P19" s="99"/>
      <c r="Q19" s="99"/>
      <c r="R19" s="99"/>
      <c r="S19" s="99"/>
    </row>
    <row r="20" spans="1:19" ht="18.75" x14ac:dyDescent="0.3">
      <c r="A20" s="105" t="s">
        <v>475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99"/>
      <c r="M20" s="99"/>
      <c r="N20" s="99"/>
      <c r="O20" s="99"/>
      <c r="P20" s="99"/>
      <c r="Q20" s="99"/>
      <c r="R20" s="99"/>
      <c r="S20" s="99"/>
    </row>
    <row r="21" spans="1:19" ht="19.5" x14ac:dyDescent="0.35">
      <c r="A21" s="116" t="s">
        <v>407</v>
      </c>
      <c r="B21" s="116"/>
      <c r="C21" s="18">
        <f>G15</f>
        <v>0</v>
      </c>
      <c r="D21" s="18" t="s">
        <v>15</v>
      </c>
      <c r="E21" s="18">
        <f>F14</f>
        <v>0</v>
      </c>
      <c r="F21" s="17" t="s">
        <v>16</v>
      </c>
      <c r="G21" s="125">
        <f>(120*C21*E21)/1000</f>
        <v>0</v>
      </c>
      <c r="H21" s="125"/>
      <c r="I21" s="17" t="s">
        <v>17</v>
      </c>
      <c r="J21" s="17"/>
      <c r="K21" s="21"/>
      <c r="L21" s="99"/>
      <c r="M21" s="99"/>
      <c r="N21" s="99"/>
      <c r="O21" s="99"/>
      <c r="P21" s="99"/>
      <c r="Q21" s="99"/>
      <c r="R21" s="99"/>
      <c r="S21" s="99"/>
    </row>
    <row r="22" spans="1:19" ht="19.5" x14ac:dyDescent="0.35">
      <c r="A22" s="17"/>
      <c r="B22" s="17"/>
      <c r="C22" s="18"/>
      <c r="D22" s="18"/>
      <c r="E22" s="18"/>
      <c r="F22" s="17"/>
      <c r="G22" s="17"/>
      <c r="H22" s="20"/>
      <c r="I22" s="17"/>
      <c r="J22" s="17"/>
      <c r="K22" s="21"/>
      <c r="L22" s="99"/>
      <c r="M22" s="99"/>
      <c r="N22" s="99"/>
      <c r="O22" s="99"/>
      <c r="P22" s="99"/>
      <c r="Q22" s="99"/>
      <c r="R22" s="99"/>
      <c r="S22" s="99"/>
    </row>
    <row r="23" spans="1:19" s="58" customFormat="1" ht="18.75" x14ac:dyDescent="0.3">
      <c r="A23" s="54" t="s">
        <v>477</v>
      </c>
      <c r="B23" s="54"/>
      <c r="C23" s="56"/>
      <c r="D23" s="56"/>
      <c r="E23" s="56"/>
      <c r="F23" s="54"/>
      <c r="G23" s="54"/>
      <c r="H23" s="57"/>
      <c r="I23" s="54"/>
      <c r="J23" s="54"/>
      <c r="K23" s="54"/>
      <c r="L23" s="100"/>
      <c r="M23" s="100"/>
      <c r="N23" s="100"/>
      <c r="O23" s="100"/>
      <c r="P23" s="100"/>
      <c r="Q23" s="100"/>
      <c r="R23" s="100"/>
      <c r="S23" s="100"/>
    </row>
    <row r="24" spans="1:19" ht="16.5" customHeight="1" x14ac:dyDescent="0.3">
      <c r="A24" s="105" t="s">
        <v>39</v>
      </c>
      <c r="B24" s="105"/>
      <c r="C24" s="105"/>
      <c r="D24" s="105"/>
      <c r="E24" s="105"/>
      <c r="F24" s="115"/>
      <c r="G24" s="106"/>
      <c r="H24" s="107"/>
      <c r="I24" s="15"/>
      <c r="J24" s="9"/>
      <c r="K24" s="5"/>
      <c r="L24" s="99"/>
      <c r="M24" s="99"/>
      <c r="N24" s="99"/>
      <c r="O24" s="99"/>
      <c r="P24" s="99"/>
      <c r="Q24" s="99"/>
      <c r="R24" s="99"/>
      <c r="S24" s="99"/>
    </row>
    <row r="25" spans="1:19" ht="18.75" x14ac:dyDescent="0.3">
      <c r="A25" s="105" t="s">
        <v>478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99"/>
      <c r="M25" s="99"/>
      <c r="N25" s="99"/>
      <c r="O25" s="99"/>
      <c r="P25" s="99"/>
      <c r="Q25" s="99"/>
      <c r="R25" s="99"/>
      <c r="S25" s="99"/>
    </row>
    <row r="26" spans="1:19" ht="18.75" x14ac:dyDescent="0.3">
      <c r="A26" s="105" t="s">
        <v>168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99"/>
      <c r="M26" s="99"/>
      <c r="N26" s="99"/>
      <c r="O26" s="99"/>
      <c r="P26" s="99"/>
      <c r="Q26" s="99"/>
      <c r="R26" s="99"/>
      <c r="S26" s="99"/>
    </row>
    <row r="27" spans="1:19" ht="19.5" x14ac:dyDescent="0.35">
      <c r="A27" s="116" t="s">
        <v>114</v>
      </c>
      <c r="B27" s="116"/>
      <c r="C27" s="18">
        <f>G24</f>
        <v>0</v>
      </c>
      <c r="D27" s="18" t="s">
        <v>15</v>
      </c>
      <c r="E27" s="18">
        <f>F14</f>
        <v>0</v>
      </c>
      <c r="F27" s="17" t="s">
        <v>16</v>
      </c>
      <c r="G27" s="125">
        <f>(75*C27*E27)/1000</f>
        <v>0</v>
      </c>
      <c r="H27" s="125"/>
      <c r="I27" s="17" t="s">
        <v>17</v>
      </c>
      <c r="J27" s="17"/>
      <c r="K27" s="21"/>
      <c r="L27" s="99"/>
      <c r="M27" s="99"/>
      <c r="N27" s="99"/>
      <c r="O27" s="99"/>
      <c r="P27" s="99"/>
      <c r="Q27" s="99"/>
      <c r="R27" s="99"/>
      <c r="S27" s="99"/>
    </row>
    <row r="28" spans="1:19" ht="18.75" x14ac:dyDescent="0.3">
      <c r="A28" s="105" t="s">
        <v>167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99"/>
      <c r="M28" s="99"/>
      <c r="N28" s="99"/>
      <c r="O28" s="99"/>
      <c r="P28" s="99"/>
      <c r="Q28" s="99"/>
      <c r="R28" s="99"/>
      <c r="S28" s="99"/>
    </row>
    <row r="29" spans="1:19" ht="18.75" x14ac:dyDescent="0.3">
      <c r="A29" s="105" t="s">
        <v>168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99"/>
      <c r="M29" s="99"/>
      <c r="N29" s="99"/>
      <c r="O29" s="99"/>
      <c r="P29" s="99"/>
      <c r="Q29" s="99"/>
      <c r="R29" s="99"/>
      <c r="S29" s="99"/>
    </row>
    <row r="30" spans="1:19" ht="19.5" x14ac:dyDescent="0.35">
      <c r="A30" s="116" t="s">
        <v>114</v>
      </c>
      <c r="B30" s="116"/>
      <c r="C30" s="18">
        <f>G24</f>
        <v>0</v>
      </c>
      <c r="D30" s="18" t="s">
        <v>15</v>
      </c>
      <c r="E30" s="18">
        <f>F14</f>
        <v>0</v>
      </c>
      <c r="F30" s="17" t="s">
        <v>16</v>
      </c>
      <c r="G30" s="125">
        <f>(75*C30*E30)/1000</f>
        <v>0</v>
      </c>
      <c r="H30" s="125"/>
      <c r="I30" s="17" t="s">
        <v>17</v>
      </c>
      <c r="J30" s="17"/>
      <c r="K30" s="21"/>
      <c r="L30" s="99"/>
      <c r="M30" s="99"/>
      <c r="N30" s="99"/>
      <c r="O30" s="99"/>
      <c r="P30" s="99"/>
      <c r="Q30" s="99"/>
      <c r="R30" s="99"/>
      <c r="S30" s="99"/>
    </row>
    <row r="31" spans="1:19" ht="18.75" x14ac:dyDescent="0.3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99"/>
      <c r="M31" s="99"/>
      <c r="N31" s="99"/>
      <c r="O31" s="99"/>
      <c r="P31" s="99"/>
      <c r="Q31" s="99"/>
      <c r="R31" s="99"/>
      <c r="S31" s="99"/>
    </row>
    <row r="32" spans="1:19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99"/>
      <c r="M32" s="99"/>
      <c r="N32" s="99"/>
      <c r="O32" s="99"/>
      <c r="P32" s="99"/>
      <c r="Q32" s="99"/>
      <c r="R32" s="99"/>
      <c r="S32" s="99"/>
    </row>
    <row r="33" spans="1:19" ht="18.75" x14ac:dyDescent="0.3">
      <c r="A33" s="102" t="s">
        <v>60</v>
      </c>
      <c r="B33" s="102"/>
      <c r="C33" s="102"/>
      <c r="D33" s="102"/>
      <c r="E33" s="104">
        <f>G18+G21+G27+G30</f>
        <v>0</v>
      </c>
      <c r="F33" s="104"/>
      <c r="G33" s="104"/>
      <c r="H33" s="104"/>
      <c r="I33" s="103" t="s">
        <v>27</v>
      </c>
      <c r="J33" s="103"/>
      <c r="K33" s="103"/>
      <c r="L33" s="99"/>
      <c r="M33" s="99"/>
      <c r="N33" s="99"/>
      <c r="O33" s="99"/>
      <c r="P33" s="99"/>
      <c r="Q33" s="99"/>
      <c r="R33" s="99"/>
      <c r="S33" s="99"/>
    </row>
    <row r="34" spans="1:19" ht="18.75" x14ac:dyDescent="0.3">
      <c r="A34" s="26" t="s">
        <v>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99"/>
      <c r="M34" s="99"/>
      <c r="N34" s="99"/>
      <c r="O34" s="99"/>
      <c r="P34" s="99"/>
      <c r="Q34" s="99"/>
      <c r="R34" s="99"/>
      <c r="S34" s="99"/>
    </row>
    <row r="35" spans="1:19" ht="18.75" x14ac:dyDescent="0.3">
      <c r="A35" s="26" t="s">
        <v>149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99"/>
      <c r="M35" s="99"/>
      <c r="N35" s="99"/>
      <c r="O35" s="99"/>
      <c r="P35" s="99"/>
      <c r="Q35" s="99"/>
      <c r="R35" s="99"/>
      <c r="S35" s="99"/>
    </row>
    <row r="36" spans="1:19" ht="18.75" x14ac:dyDescent="0.3">
      <c r="A36" s="27"/>
      <c r="B36" s="5"/>
      <c r="C36" s="5"/>
      <c r="D36" s="5"/>
      <c r="E36" s="5"/>
      <c r="F36" s="5"/>
      <c r="G36" s="5"/>
      <c r="H36" s="5"/>
      <c r="I36" s="5"/>
      <c r="J36" s="5"/>
      <c r="K36" s="5"/>
      <c r="L36" s="99"/>
      <c r="M36" s="99"/>
      <c r="N36" s="99"/>
      <c r="O36" s="99"/>
      <c r="P36" s="99"/>
      <c r="Q36" s="99"/>
      <c r="R36" s="99"/>
      <c r="S36" s="99"/>
    </row>
    <row r="37" spans="1:19" ht="18.75" x14ac:dyDescent="0.3">
      <c r="A37" s="26" t="s">
        <v>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99"/>
      <c r="M37" s="99"/>
      <c r="N37" s="99"/>
      <c r="O37" s="99"/>
      <c r="P37" s="99"/>
      <c r="Q37" s="99"/>
      <c r="R37" s="99"/>
      <c r="S37" s="99"/>
    </row>
    <row r="38" spans="1:19" ht="18.75" x14ac:dyDescent="0.3">
      <c r="A38" s="26"/>
      <c r="B38" s="5"/>
      <c r="C38" s="5"/>
      <c r="D38" s="5"/>
      <c r="E38" s="5"/>
      <c r="F38" s="5"/>
      <c r="G38" s="5"/>
      <c r="H38" s="5"/>
      <c r="I38" s="5"/>
      <c r="J38" s="5"/>
      <c r="K38" s="5"/>
      <c r="L38" s="99"/>
      <c r="M38" s="99"/>
      <c r="N38" s="99"/>
      <c r="O38" s="99"/>
      <c r="P38" s="99"/>
      <c r="Q38" s="99"/>
      <c r="R38" s="99"/>
      <c r="S38" s="99"/>
    </row>
    <row r="39" spans="1:19" ht="18.75" x14ac:dyDescent="0.3">
      <c r="A39" s="26" t="s">
        <v>10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99"/>
      <c r="M39" s="99"/>
      <c r="N39" s="99"/>
      <c r="O39" s="99"/>
      <c r="P39" s="99"/>
      <c r="Q39" s="99"/>
      <c r="R39" s="99"/>
      <c r="S39" s="99"/>
    </row>
    <row r="40" spans="1:19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99"/>
      <c r="M40" s="99"/>
      <c r="N40" s="99"/>
      <c r="O40" s="99"/>
      <c r="P40" s="99"/>
      <c r="Q40" s="99"/>
      <c r="R40" s="99"/>
      <c r="S40" s="99"/>
    </row>
    <row r="41" spans="1:19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</row>
    <row r="42" spans="1:19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</row>
    <row r="43" spans="1:19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</row>
    <row r="44" spans="1:19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</row>
    <row r="45" spans="1:19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</row>
    <row r="46" spans="1:19" x14ac:dyDescent="0.2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</row>
  </sheetData>
  <sheetProtection password="CA9C" sheet="1" objects="1" scenarios="1"/>
  <protectedRanges>
    <protectedRange sqref="A4 F6 E6 H6 H8 A10 F14 G15 G24" name="Диапазон1"/>
  </protectedRanges>
  <mergeCells count="37">
    <mergeCell ref="A14:E14"/>
    <mergeCell ref="F14:H14"/>
    <mergeCell ref="A1:J1"/>
    <mergeCell ref="A2:J2"/>
    <mergeCell ref="A3:I3"/>
    <mergeCell ref="A5:J5"/>
    <mergeCell ref="A6:D6"/>
    <mergeCell ref="A4:K4"/>
    <mergeCell ref="H6:K6"/>
    <mergeCell ref="A8:G8"/>
    <mergeCell ref="A10:K10"/>
    <mergeCell ref="H8:K8"/>
    <mergeCell ref="A12:K13"/>
    <mergeCell ref="A16:K16"/>
    <mergeCell ref="A17:K17"/>
    <mergeCell ref="A18:B18"/>
    <mergeCell ref="A19:K19"/>
    <mergeCell ref="A15:F15"/>
    <mergeCell ref="G15:H15"/>
    <mergeCell ref="A33:D33"/>
    <mergeCell ref="E33:H33"/>
    <mergeCell ref="A20:K20"/>
    <mergeCell ref="A21:B21"/>
    <mergeCell ref="A24:F24"/>
    <mergeCell ref="G24:H24"/>
    <mergeCell ref="A25:K25"/>
    <mergeCell ref="A26:K26"/>
    <mergeCell ref="A28:K28"/>
    <mergeCell ref="I33:K33"/>
    <mergeCell ref="A29:K29"/>
    <mergeCell ref="A30:B30"/>
    <mergeCell ref="A31:K31"/>
    <mergeCell ref="G30:H30"/>
    <mergeCell ref="A27:B27"/>
    <mergeCell ref="G18:H18"/>
    <mergeCell ref="G21:H21"/>
    <mergeCell ref="G27:H27"/>
  </mergeCells>
  <pageMargins left="0.7" right="0.7" top="0.75" bottom="0.75" header="0.3" footer="0.3"/>
  <pageSetup paperSize="9" scale="88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Y39"/>
  <sheetViews>
    <sheetView workbookViewId="0">
      <selection activeCell="K12" sqref="K12:M12"/>
    </sheetView>
  </sheetViews>
  <sheetFormatPr defaultRowHeight="12.75" x14ac:dyDescent="0.2"/>
  <cols>
    <col min="1" max="1" width="6.85546875" customWidth="1"/>
    <col min="2" max="2" width="5.42578125" customWidth="1"/>
    <col min="3" max="3" width="5.85546875" customWidth="1"/>
    <col min="4" max="4" width="8.42578125" customWidth="1"/>
    <col min="5" max="5" width="5.42578125" customWidth="1"/>
    <col min="6" max="6" width="8.28515625" customWidth="1"/>
    <col min="7" max="7" width="6.28515625" customWidth="1"/>
    <col min="8" max="8" width="4.28515625" customWidth="1"/>
    <col min="9" max="9" width="7.85546875" customWidth="1"/>
    <col min="10" max="10" width="5.85546875" customWidth="1"/>
    <col min="11" max="11" width="7.5703125" customWidth="1"/>
    <col min="12" max="12" width="6" customWidth="1"/>
    <col min="13" max="13" width="5.140625" customWidth="1"/>
    <col min="14" max="14" width="6.140625" customWidth="1"/>
    <col min="15" max="15" width="6.7109375" customWidth="1"/>
    <col min="16" max="16" width="7.28515625" customWidth="1"/>
  </cols>
  <sheetData>
    <row r="1" spans="1:25" s="5" customFormat="1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</row>
    <row r="2" spans="1:25" s="5" customFormat="1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</row>
    <row r="3" spans="1:25" s="5" customFormat="1" ht="18.75" customHeight="1" x14ac:dyDescent="0.3">
      <c r="A3" s="124" t="s">
        <v>509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</row>
    <row r="4" spans="1:25" s="5" customFormat="1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</row>
    <row r="5" spans="1:25" s="5" customFormat="1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</row>
    <row r="6" spans="1:25" s="5" customFormat="1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25" s="5" customFormat="1" ht="14.25" customHeight="1" x14ac:dyDescent="0.3">
      <c r="A7" s="10"/>
      <c r="Q7" s="9"/>
    </row>
    <row r="8" spans="1:25" s="5" customFormat="1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Q8" s="9"/>
    </row>
    <row r="9" spans="1:25" s="5" customFormat="1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1:25" s="5" customFormat="1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Q10" s="9"/>
    </row>
    <row r="11" spans="1:25" s="5" customFormat="1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5" s="5" customFormat="1" ht="18.75" x14ac:dyDescent="0.3">
      <c r="A12" s="105" t="s">
        <v>516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6"/>
      <c r="L12" s="108"/>
      <c r="M12" s="107"/>
      <c r="Q12" s="9"/>
    </row>
    <row r="13" spans="1:25" s="5" customFormat="1" ht="18.75" x14ac:dyDescent="0.3">
      <c r="A13" s="105" t="s">
        <v>632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6"/>
      <c r="L13" s="108"/>
      <c r="M13" s="107"/>
      <c r="Q13" s="9"/>
    </row>
    <row r="14" spans="1:25" s="16" customFormat="1" ht="18.75" x14ac:dyDescent="0.3">
      <c r="A14" s="14" t="s">
        <v>510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/>
      <c r="R14" s="5"/>
      <c r="S14" s="5"/>
      <c r="T14" s="5"/>
      <c r="U14" s="5"/>
      <c r="V14" s="5"/>
      <c r="W14" s="5"/>
      <c r="X14" s="5"/>
      <c r="Y14" s="5"/>
    </row>
    <row r="15" spans="1:25" s="16" customFormat="1" ht="18.75" x14ac:dyDescent="0.3">
      <c r="A15" s="14" t="s">
        <v>511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5"/>
      <c r="S15" s="5"/>
      <c r="T15" s="5"/>
      <c r="U15" s="5"/>
      <c r="V15" s="5"/>
      <c r="W15" s="5"/>
      <c r="X15" s="5"/>
      <c r="Y15" s="5"/>
    </row>
    <row r="16" spans="1:25" s="19" customFormat="1" ht="19.5" x14ac:dyDescent="0.35">
      <c r="A16" s="17" t="s">
        <v>67</v>
      </c>
      <c r="B16" s="17"/>
      <c r="C16" s="18">
        <f>K13</f>
        <v>0</v>
      </c>
      <c r="D16" s="18" t="s">
        <v>15</v>
      </c>
      <c r="E16" s="18">
        <f>K12</f>
        <v>0</v>
      </c>
      <c r="F16" s="17" t="s">
        <v>16</v>
      </c>
      <c r="G16" s="17"/>
      <c r="H16" s="125">
        <f>(2*C16*E16)/1000</f>
        <v>0</v>
      </c>
      <c r="I16" s="125"/>
      <c r="J16" s="17" t="s">
        <v>65</v>
      </c>
      <c r="K16" s="17"/>
      <c r="L16" s="21"/>
      <c r="M16" s="21"/>
      <c r="N16" s="21"/>
      <c r="Q16" s="22"/>
      <c r="R16" s="5"/>
      <c r="S16" s="5"/>
      <c r="T16" s="5"/>
      <c r="U16" s="5"/>
      <c r="V16" s="5"/>
      <c r="W16" s="5"/>
      <c r="X16" s="5"/>
      <c r="Y16" s="5"/>
    </row>
    <row r="17" spans="1:17" s="16" customFormat="1" ht="18.75" x14ac:dyDescent="0.3">
      <c r="A17" s="14" t="s">
        <v>512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</row>
    <row r="18" spans="1:17" s="16" customFormat="1" ht="18.75" x14ac:dyDescent="0.3">
      <c r="A18" s="14" t="s">
        <v>513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</row>
    <row r="19" spans="1:17" s="19" customFormat="1" ht="19.5" x14ac:dyDescent="0.35">
      <c r="A19" s="17" t="s">
        <v>155</v>
      </c>
      <c r="B19" s="17"/>
      <c r="C19" s="18">
        <f>K13</f>
        <v>0</v>
      </c>
      <c r="D19" s="18" t="s">
        <v>15</v>
      </c>
      <c r="E19" s="18">
        <v>0</v>
      </c>
      <c r="F19" s="17" t="s">
        <v>16</v>
      </c>
      <c r="G19" s="17"/>
      <c r="H19" s="125">
        <f>(1*C19*E19)/1000</f>
        <v>0</v>
      </c>
      <c r="I19" s="125"/>
      <c r="J19" s="17" t="s">
        <v>66</v>
      </c>
      <c r="K19" s="17"/>
      <c r="L19" s="21"/>
      <c r="M19" s="21"/>
      <c r="N19" s="21"/>
      <c r="O19" s="21"/>
      <c r="P19" s="21"/>
      <c r="Q19" s="23"/>
    </row>
    <row r="20" spans="1:17" s="5" customFormat="1" x14ac:dyDescent="0.2"/>
    <row r="21" spans="1:17" s="5" customFormat="1" ht="18.75" x14ac:dyDescent="0.3">
      <c r="A21" s="105" t="s">
        <v>514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L21" s="108"/>
      <c r="M21" s="107"/>
      <c r="Q21" s="9"/>
    </row>
    <row r="22" spans="1:17" s="5" customFormat="1" ht="18.75" x14ac:dyDescent="0.3">
      <c r="A22" s="105" t="s">
        <v>516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6"/>
      <c r="L22" s="108"/>
      <c r="M22" s="107"/>
      <c r="Q22" s="9"/>
    </row>
    <row r="23" spans="1:17" s="16" customFormat="1" ht="36" customHeight="1" x14ac:dyDescent="0.3">
      <c r="A23" s="146" t="s">
        <v>515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5"/>
    </row>
    <row r="24" spans="1:17" s="16" customFormat="1" ht="18.75" x14ac:dyDescent="0.3">
      <c r="A24" s="14" t="s">
        <v>517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</row>
    <row r="25" spans="1:17" s="19" customFormat="1" ht="19.5" x14ac:dyDescent="0.35">
      <c r="A25" s="17" t="s">
        <v>53</v>
      </c>
      <c r="B25" s="17"/>
      <c r="C25" s="18">
        <f>K21</f>
        <v>0</v>
      </c>
      <c r="D25" s="18" t="s">
        <v>15</v>
      </c>
      <c r="E25" s="18">
        <f>K22</f>
        <v>0</v>
      </c>
      <c r="F25" s="17" t="s">
        <v>16</v>
      </c>
      <c r="G25" s="17"/>
      <c r="H25" s="125">
        <f>(40*C25*E25)/1000</f>
        <v>0</v>
      </c>
      <c r="I25" s="125"/>
      <c r="J25" s="17" t="s">
        <v>65</v>
      </c>
      <c r="K25" s="17"/>
      <c r="L25" s="21"/>
      <c r="M25" s="21"/>
      <c r="N25" s="21"/>
      <c r="Q25" s="22"/>
    </row>
    <row r="26" spans="1:17" s="16" customFormat="1" ht="18.75" x14ac:dyDescent="0.3">
      <c r="A26" s="14" t="s">
        <v>518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</row>
    <row r="27" spans="1:17" s="16" customFormat="1" ht="18.75" x14ac:dyDescent="0.3">
      <c r="A27" s="14" t="s">
        <v>519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/>
    </row>
    <row r="28" spans="1:17" s="19" customFormat="1" ht="19.5" x14ac:dyDescent="0.35">
      <c r="A28" s="17" t="s">
        <v>161</v>
      </c>
      <c r="B28" s="17"/>
      <c r="C28" s="18">
        <f>K21</f>
        <v>0</v>
      </c>
      <c r="D28" s="18" t="s">
        <v>15</v>
      </c>
      <c r="E28" s="18">
        <f>K22</f>
        <v>0</v>
      </c>
      <c r="F28" s="17" t="s">
        <v>16</v>
      </c>
      <c r="G28" s="17"/>
      <c r="H28" s="125">
        <f>(60*C28*E28)/1000</f>
        <v>0</v>
      </c>
      <c r="I28" s="125"/>
      <c r="J28" s="17" t="s">
        <v>66</v>
      </c>
      <c r="K28" s="17"/>
      <c r="L28" s="21"/>
      <c r="M28" s="21"/>
      <c r="N28" s="21"/>
      <c r="O28" s="21"/>
      <c r="P28" s="21"/>
      <c r="Q28" s="23"/>
    </row>
    <row r="29" spans="1:17" s="5" customFormat="1" x14ac:dyDescent="0.2"/>
    <row r="30" spans="1:17" s="5" customFormat="1" x14ac:dyDescent="0.2"/>
    <row r="31" spans="1:17" s="5" customFormat="1" x14ac:dyDescent="0.2"/>
    <row r="32" spans="1:17" s="5" customFormat="1" x14ac:dyDescent="0.2">
      <c r="Q32" s="9"/>
    </row>
    <row r="33" spans="1:17" s="5" customFormat="1" ht="18.75" x14ac:dyDescent="0.3">
      <c r="A33" s="102" t="s">
        <v>60</v>
      </c>
      <c r="B33" s="102"/>
      <c r="C33" s="102"/>
      <c r="D33" s="102"/>
      <c r="E33" s="104">
        <f>H16+H19+H25+H28</f>
        <v>0</v>
      </c>
      <c r="F33" s="104"/>
      <c r="G33" s="104"/>
      <c r="H33" s="104"/>
      <c r="I33" s="103" t="s">
        <v>27</v>
      </c>
      <c r="J33" s="103"/>
      <c r="K33" s="103"/>
      <c r="L33" s="103"/>
      <c r="Q33" s="9"/>
    </row>
    <row r="34" spans="1:17" s="5" customFormat="1" ht="18.75" x14ac:dyDescent="0.3">
      <c r="A34" s="26" t="s">
        <v>8</v>
      </c>
      <c r="Q34" s="9"/>
    </row>
    <row r="35" spans="1:17" s="5" customFormat="1" ht="18.75" x14ac:dyDescent="0.3">
      <c r="A35" s="26" t="s">
        <v>149</v>
      </c>
    </row>
    <row r="36" spans="1:17" s="5" customFormat="1" ht="12" customHeight="1" x14ac:dyDescent="0.3">
      <c r="A36" s="27"/>
      <c r="Q36" s="9"/>
    </row>
    <row r="37" spans="1:17" s="5" customFormat="1" ht="18.75" x14ac:dyDescent="0.3">
      <c r="A37" s="26" t="s">
        <v>9</v>
      </c>
      <c r="Q37" s="9"/>
    </row>
    <row r="38" spans="1:17" s="5" customFormat="1" ht="18.75" x14ac:dyDescent="0.3">
      <c r="A38" s="26"/>
      <c r="Q38" s="9"/>
    </row>
    <row r="39" spans="1:17" s="5" customFormat="1" ht="18.75" x14ac:dyDescent="0.3">
      <c r="A39" s="26" t="s">
        <v>10</v>
      </c>
      <c r="Q39" s="9"/>
    </row>
  </sheetData>
  <sheetProtection sheet="1" objects="1" scenarios="1"/>
  <protectedRanges>
    <protectedRange sqref="A4 G6 J6 J8 A10 K12 K13 K21 K22" name="Диапазон1"/>
  </protectedRanges>
  <mergeCells count="27">
    <mergeCell ref="C6:F6"/>
    <mergeCell ref="G6:H6"/>
    <mergeCell ref="J6:M6"/>
    <mergeCell ref="A12:J12"/>
    <mergeCell ref="A1:P1"/>
    <mergeCell ref="A2:P2"/>
    <mergeCell ref="A3:P3"/>
    <mergeCell ref="A4:P4"/>
    <mergeCell ref="A5:P5"/>
    <mergeCell ref="A8:I8"/>
    <mergeCell ref="J8:P8"/>
    <mergeCell ref="A10:P10"/>
    <mergeCell ref="K12:M12"/>
    <mergeCell ref="A33:D33"/>
    <mergeCell ref="E33:H33"/>
    <mergeCell ref="I33:L33"/>
    <mergeCell ref="A22:J22"/>
    <mergeCell ref="A13:J13"/>
    <mergeCell ref="K22:M22"/>
    <mergeCell ref="H16:I16"/>
    <mergeCell ref="H19:I19"/>
    <mergeCell ref="H25:I25"/>
    <mergeCell ref="A21:J21"/>
    <mergeCell ref="K21:M21"/>
    <mergeCell ref="K13:M13"/>
    <mergeCell ref="H28:I28"/>
    <mergeCell ref="A23:P23"/>
  </mergeCells>
  <pageMargins left="0.7" right="0.7" top="0.75" bottom="0.75" header="0.3" footer="0.3"/>
  <pageSetup paperSize="9" scale="86" fitToHeight="0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AA36"/>
  <sheetViews>
    <sheetView topLeftCell="A13" workbookViewId="0">
      <selection activeCell="H13" sqref="H13:J13"/>
    </sheetView>
  </sheetViews>
  <sheetFormatPr defaultRowHeight="12.75" x14ac:dyDescent="0.2"/>
  <cols>
    <col min="1" max="1" width="11.85546875" style="5" customWidth="1"/>
    <col min="2" max="2" width="5.28515625" style="5" customWidth="1"/>
    <col min="3" max="3" width="4.42578125" style="5" customWidth="1"/>
    <col min="4" max="4" width="7" style="5" customWidth="1"/>
    <col min="5" max="5" width="11.5703125" style="5" customWidth="1"/>
    <col min="6" max="6" width="4.28515625" style="5" customWidth="1"/>
    <col min="7" max="7" width="1.28515625" style="5" customWidth="1"/>
    <col min="8" max="8" width="7.85546875" style="5" customWidth="1"/>
    <col min="9" max="9" width="4.140625" style="5" customWidth="1"/>
    <col min="10" max="10" width="6.28515625" style="5" customWidth="1"/>
    <col min="11" max="11" width="5.140625" style="5" customWidth="1"/>
    <col min="12" max="12" width="4.7109375" style="5" customWidth="1"/>
    <col min="13" max="13" width="5.28515625" style="5" customWidth="1"/>
    <col min="14" max="14" width="4.140625" style="5" customWidth="1"/>
    <col min="15" max="16" width="4.7109375" style="5" customWidth="1"/>
    <col min="17" max="17" width="12.85546875" style="5" customWidth="1"/>
    <col min="18" max="22" width="5.140625" style="5" customWidth="1"/>
    <col min="23" max="16384" width="9.140625" style="5"/>
  </cols>
  <sheetData>
    <row r="1" spans="1:2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27" ht="37.5" customHeight="1" x14ac:dyDescent="0.3">
      <c r="A3" s="124" t="s">
        <v>520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7" ht="19.5" customHeight="1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</row>
    <row r="5" spans="1:2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2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27" ht="14.25" customHeight="1" x14ac:dyDescent="0.3">
      <c r="A7" s="10"/>
    </row>
    <row r="8" spans="1:27" ht="18.75" x14ac:dyDescent="0.3">
      <c r="A8" s="14" t="s">
        <v>54</v>
      </c>
      <c r="B8" s="14"/>
      <c r="C8" s="14"/>
      <c r="D8" s="14"/>
      <c r="E8" s="14"/>
      <c r="F8" s="14"/>
      <c r="G8" s="106"/>
      <c r="H8" s="108"/>
      <c r="I8" s="108"/>
      <c r="J8" s="108"/>
      <c r="K8" s="108"/>
      <c r="L8" s="108"/>
      <c r="M8" s="108"/>
      <c r="N8" s="108"/>
      <c r="O8" s="108"/>
      <c r="P8" s="108"/>
      <c r="Q8" s="107"/>
    </row>
    <row r="9" spans="1:2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2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</row>
    <row r="11" spans="1:27" s="19" customFormat="1" ht="18.75" x14ac:dyDescent="0.3">
      <c r="A11" s="119" t="s">
        <v>521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S11" s="5"/>
      <c r="T11" s="5"/>
      <c r="U11" s="5"/>
      <c r="V11" s="5"/>
      <c r="W11" s="5"/>
      <c r="X11" s="5"/>
      <c r="Y11" s="5"/>
      <c r="Z11" s="5"/>
      <c r="AA11" s="5"/>
    </row>
    <row r="12" spans="1:27" s="16" customForma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S12" s="5"/>
      <c r="T12" s="5"/>
      <c r="U12" s="5"/>
      <c r="V12" s="5"/>
      <c r="W12" s="5"/>
      <c r="X12" s="5"/>
      <c r="Y12" s="5"/>
      <c r="Z12" s="5"/>
      <c r="AA12" s="5"/>
    </row>
    <row r="13" spans="1:27" ht="18.75" x14ac:dyDescent="0.3">
      <c r="A13" s="154" t="s">
        <v>525</v>
      </c>
      <c r="B13" s="154"/>
      <c r="C13" s="154"/>
      <c r="D13" s="154"/>
      <c r="E13" s="154"/>
      <c r="H13" s="106"/>
      <c r="I13" s="108"/>
      <c r="J13" s="107"/>
    </row>
    <row r="14" spans="1:27" ht="18.75" x14ac:dyDescent="0.3">
      <c r="A14" s="105" t="s">
        <v>522</v>
      </c>
      <c r="B14" s="105"/>
      <c r="C14" s="105"/>
      <c r="D14" s="105"/>
      <c r="E14" s="105"/>
      <c r="H14" s="106"/>
      <c r="I14" s="108"/>
      <c r="J14" s="107"/>
    </row>
    <row r="15" spans="1:27" ht="18.75" x14ac:dyDescent="0.3">
      <c r="A15" s="105" t="s">
        <v>523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27" ht="18.75" customHeight="1" x14ac:dyDescent="0.3">
      <c r="A16" s="117" t="s">
        <v>524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1:17" s="19" customFormat="1" ht="19.5" x14ac:dyDescent="0.35">
      <c r="A17" s="17" t="s">
        <v>621</v>
      </c>
      <c r="B17" s="17">
        <f>H13</f>
        <v>0</v>
      </c>
      <c r="C17" s="17" t="s">
        <v>15</v>
      </c>
      <c r="D17" s="18">
        <f>H14</f>
        <v>0</v>
      </c>
      <c r="E17" s="70" t="s">
        <v>16</v>
      </c>
      <c r="F17" s="125">
        <f>(3*B17*D17)/1000</f>
        <v>0</v>
      </c>
      <c r="G17" s="125"/>
      <c r="H17" s="125"/>
      <c r="I17" s="17" t="s">
        <v>17</v>
      </c>
      <c r="K17" s="21"/>
      <c r="L17" s="21"/>
      <c r="M17" s="21"/>
      <c r="N17" s="21"/>
      <c r="O17" s="21"/>
      <c r="P17" s="21"/>
      <c r="Q17" s="21"/>
    </row>
    <row r="18" spans="1:17" ht="18.75" x14ac:dyDescent="0.3">
      <c r="A18" s="102" t="s">
        <v>60</v>
      </c>
      <c r="B18" s="102"/>
      <c r="C18" s="102"/>
      <c r="D18" s="102"/>
      <c r="E18" s="104">
        <f>F17</f>
        <v>0</v>
      </c>
      <c r="F18" s="104"/>
      <c r="G18" s="104"/>
      <c r="H18" s="104"/>
      <c r="I18" s="103" t="s">
        <v>27</v>
      </c>
      <c r="J18" s="103"/>
      <c r="K18" s="103"/>
      <c r="L18" s="103"/>
    </row>
    <row r="20" spans="1:17" s="19" customFormat="1" ht="18.75" x14ac:dyDescent="0.3">
      <c r="A20" s="119" t="s">
        <v>526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s="19" customFormat="1" ht="18.75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 ht="18.75" x14ac:dyDescent="0.3">
      <c r="A22" s="154" t="s">
        <v>525</v>
      </c>
      <c r="B22" s="154"/>
      <c r="C22" s="154"/>
      <c r="D22" s="154"/>
      <c r="E22" s="154"/>
      <c r="H22" s="106"/>
      <c r="I22" s="108"/>
      <c r="J22" s="107"/>
    </row>
    <row r="23" spans="1:17" ht="18.75" x14ac:dyDescent="0.3">
      <c r="A23" s="105" t="s">
        <v>522</v>
      </c>
      <c r="B23" s="105"/>
      <c r="C23" s="105"/>
      <c r="D23" s="105"/>
      <c r="E23" s="105"/>
      <c r="H23" s="106"/>
      <c r="I23" s="108"/>
      <c r="J23" s="107"/>
    </row>
    <row r="24" spans="1:17" ht="18.75" x14ac:dyDescent="0.3">
      <c r="A24" s="105" t="s">
        <v>527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</row>
    <row r="25" spans="1:17" ht="18.75" customHeight="1" x14ac:dyDescent="0.3">
      <c r="A25" s="117" t="s">
        <v>528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r="26" spans="1:17" s="19" customFormat="1" ht="19.5" x14ac:dyDescent="0.35">
      <c r="A26" s="17" t="s">
        <v>620</v>
      </c>
      <c r="B26" s="18">
        <f>H22</f>
        <v>0</v>
      </c>
      <c r="C26" s="17" t="s">
        <v>15</v>
      </c>
      <c r="D26" s="18">
        <f>H23</f>
        <v>0</v>
      </c>
      <c r="E26" s="70" t="s">
        <v>16</v>
      </c>
      <c r="F26" s="125">
        <f>(0.5*B26*D26)/1000</f>
        <v>0</v>
      </c>
      <c r="G26" s="125"/>
      <c r="H26" s="125"/>
      <c r="I26" s="17" t="s">
        <v>17</v>
      </c>
      <c r="K26" s="21"/>
      <c r="L26" s="21"/>
      <c r="M26" s="21"/>
      <c r="N26" s="21"/>
      <c r="O26" s="21"/>
      <c r="P26" s="21"/>
      <c r="Q26" s="21"/>
    </row>
    <row r="27" spans="1:17" ht="18.75" x14ac:dyDescent="0.3">
      <c r="A27" s="102" t="s">
        <v>60</v>
      </c>
      <c r="B27" s="102"/>
      <c r="C27" s="102"/>
      <c r="D27" s="102"/>
      <c r="E27" s="104">
        <f>F26</f>
        <v>0</v>
      </c>
      <c r="F27" s="104"/>
      <c r="G27" s="104"/>
      <c r="H27" s="104"/>
      <c r="I27" s="103" t="s">
        <v>27</v>
      </c>
      <c r="J27" s="103"/>
      <c r="K27" s="103"/>
      <c r="L27" s="103"/>
    </row>
    <row r="28" spans="1:17" ht="18.75" x14ac:dyDescent="0.3">
      <c r="A28" s="26" t="s">
        <v>8</v>
      </c>
    </row>
    <row r="29" spans="1:17" ht="18.75" x14ac:dyDescent="0.3">
      <c r="A29" s="26" t="s">
        <v>149</v>
      </c>
    </row>
    <row r="30" spans="1:17" ht="12" customHeight="1" x14ac:dyDescent="0.3">
      <c r="A30" s="27"/>
    </row>
    <row r="31" spans="1:17" ht="18.75" x14ac:dyDescent="0.3">
      <c r="A31" s="26" t="s">
        <v>9</v>
      </c>
    </row>
    <row r="32" spans="1:17" ht="18.75" x14ac:dyDescent="0.3">
      <c r="A32" s="26"/>
    </row>
    <row r="33" spans="1:7" ht="18.75" x14ac:dyDescent="0.3">
      <c r="A33" s="26" t="s">
        <v>10</v>
      </c>
    </row>
    <row r="36" spans="1:7" ht="11.25" customHeight="1" x14ac:dyDescent="0.3">
      <c r="A36" s="13"/>
      <c r="B36" s="13"/>
      <c r="C36" s="13"/>
      <c r="D36" s="13"/>
      <c r="E36" s="13"/>
      <c r="F36" s="13"/>
      <c r="G36" s="13"/>
    </row>
  </sheetData>
  <sheetProtection password="CA9C" sheet="1" objects="1" scenarios="1"/>
  <protectedRanges>
    <protectedRange sqref="A4 G6 J6 G8 A10 H13 H14 H22 H23" name="Диапазон1"/>
  </protectedRanges>
  <mergeCells count="32">
    <mergeCell ref="F17:H17"/>
    <mergeCell ref="H14:J14"/>
    <mergeCell ref="A27:D27"/>
    <mergeCell ref="E27:H27"/>
    <mergeCell ref="I27:L27"/>
    <mergeCell ref="A20:Q20"/>
    <mergeCell ref="F26:H26"/>
    <mergeCell ref="A24:Q24"/>
    <mergeCell ref="A25:Q25"/>
    <mergeCell ref="A22:E22"/>
    <mergeCell ref="H22:J22"/>
    <mergeCell ref="A1:Q1"/>
    <mergeCell ref="A2:Q2"/>
    <mergeCell ref="A3:Q3"/>
    <mergeCell ref="A4:Q4"/>
    <mergeCell ref="A5:Q5"/>
    <mergeCell ref="G6:H6"/>
    <mergeCell ref="J6:M6"/>
    <mergeCell ref="A23:E23"/>
    <mergeCell ref="H23:J23"/>
    <mergeCell ref="G8:Q8"/>
    <mergeCell ref="A10:Q10"/>
    <mergeCell ref="C6:F6"/>
    <mergeCell ref="A14:E14"/>
    <mergeCell ref="A18:D18"/>
    <mergeCell ref="E18:H18"/>
    <mergeCell ref="I18:L18"/>
    <mergeCell ref="A11:Q11"/>
    <mergeCell ref="A13:E13"/>
    <mergeCell ref="H13:J13"/>
    <mergeCell ref="A15:Q15"/>
    <mergeCell ref="A16:Q16"/>
  </mergeCells>
  <pageMargins left="0.7" right="0.7" top="0.75" bottom="0.75" header="0.3" footer="0.3"/>
  <pageSetup paperSize="9" scale="85" fitToHeight="0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Z58"/>
  <sheetViews>
    <sheetView workbookViewId="0">
      <selection activeCell="A10" sqref="A10:P10"/>
    </sheetView>
  </sheetViews>
  <sheetFormatPr defaultRowHeight="12.75" x14ac:dyDescent="0.2"/>
  <cols>
    <col min="1" max="1" width="7.140625" customWidth="1"/>
    <col min="2" max="2" width="4.42578125" customWidth="1"/>
    <col min="3" max="3" width="5.85546875" customWidth="1"/>
    <col min="4" max="4" width="5.28515625" customWidth="1"/>
    <col min="5" max="5" width="6.28515625" customWidth="1"/>
    <col min="6" max="6" width="7.7109375" customWidth="1"/>
    <col min="7" max="7" width="4" customWidth="1"/>
    <col min="8" max="8" width="6.7109375" customWidth="1"/>
    <col min="9" max="9" width="4.28515625" customWidth="1"/>
    <col min="10" max="10" width="1.85546875" customWidth="1"/>
    <col min="16" max="16" width="13.5703125" customWidth="1"/>
  </cols>
  <sheetData>
    <row r="1" spans="1:26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26" ht="18.75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6" ht="18.75" x14ac:dyDescent="0.3">
      <c r="A3" s="124" t="s">
        <v>479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26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99"/>
      <c r="R4" s="99"/>
      <c r="S4" s="99"/>
      <c r="T4" s="99"/>
      <c r="U4" s="99"/>
      <c r="V4" s="99"/>
      <c r="W4" s="99"/>
      <c r="X4" s="99"/>
      <c r="Y4" s="99"/>
      <c r="Z4" s="99"/>
    </row>
    <row r="5" spans="1:26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spans="1:26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9"/>
      <c r="R6" s="99"/>
      <c r="S6" s="99"/>
      <c r="T6" s="99"/>
      <c r="U6" s="99"/>
      <c r="V6" s="99"/>
      <c r="W6" s="99"/>
      <c r="X6" s="99"/>
      <c r="Y6" s="99"/>
      <c r="Z6" s="99"/>
    </row>
    <row r="7" spans="1:26" ht="18.75" x14ac:dyDescent="0.3">
      <c r="A7" s="1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spans="1:26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spans="1:26" ht="18.7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spans="1:26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 ht="18.75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 s="55" customFormat="1" ht="18.75" x14ac:dyDescent="0.3">
      <c r="A12" s="59" t="s">
        <v>481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101"/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ht="18.75" x14ac:dyDescent="0.3">
      <c r="A13" s="31" t="s">
        <v>482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26" ht="18.75" x14ac:dyDescent="0.3">
      <c r="A14" s="105" t="s">
        <v>480</v>
      </c>
      <c r="B14" s="105"/>
      <c r="C14" s="105"/>
      <c r="D14" s="105"/>
      <c r="E14" s="105"/>
      <c r="F14" s="105"/>
      <c r="G14" s="105"/>
      <c r="H14" s="2"/>
      <c r="I14" s="5"/>
      <c r="J14" s="9"/>
      <c r="K14" s="5"/>
      <c r="L14" s="5"/>
      <c r="M14" s="5"/>
      <c r="N14" s="5"/>
      <c r="O14" s="5"/>
      <c r="P14" s="5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 s="5" customFormat="1" ht="18.75" x14ac:dyDescent="0.3">
      <c r="A15" s="105" t="s">
        <v>622</v>
      </c>
      <c r="B15" s="105"/>
      <c r="C15" s="105"/>
      <c r="D15" s="105"/>
      <c r="E15" s="105"/>
      <c r="F15" s="105"/>
      <c r="G15" s="105"/>
      <c r="H15" s="105"/>
      <c r="I15" s="105"/>
      <c r="J15" s="115"/>
      <c r="K15" s="106"/>
      <c r="L15" s="108"/>
      <c r="M15" s="107"/>
      <c r="Q15" s="9"/>
    </row>
    <row r="16" spans="1:26" s="16" customFormat="1" ht="18.75" x14ac:dyDescent="0.3">
      <c r="A16" s="14" t="s">
        <v>483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</row>
    <row r="17" spans="1:26" s="16" customFormat="1" ht="18.75" x14ac:dyDescent="0.3">
      <c r="A17" s="14" t="s">
        <v>484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5"/>
    </row>
    <row r="18" spans="1:26" s="19" customFormat="1" ht="19.5" x14ac:dyDescent="0.35">
      <c r="A18" s="17" t="s">
        <v>38</v>
      </c>
      <c r="B18" s="17"/>
      <c r="C18" s="18">
        <f>H14</f>
        <v>0</v>
      </c>
      <c r="D18" s="18" t="s">
        <v>15</v>
      </c>
      <c r="E18" s="18">
        <f>K15</f>
        <v>0</v>
      </c>
      <c r="F18" s="17" t="s">
        <v>16</v>
      </c>
      <c r="G18" s="17"/>
      <c r="H18" s="123">
        <f>(50*C18*E18)/1000</f>
        <v>0</v>
      </c>
      <c r="I18" s="123"/>
      <c r="J18" s="17" t="s">
        <v>65</v>
      </c>
      <c r="K18" s="17"/>
      <c r="L18" s="21"/>
      <c r="M18" s="21"/>
      <c r="N18" s="21"/>
      <c r="Q18" s="22"/>
    </row>
    <row r="19" spans="1:26" s="16" customFormat="1" ht="18.75" x14ac:dyDescent="0.3">
      <c r="A19" s="14" t="s">
        <v>485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</row>
    <row r="20" spans="1:26" s="16" customFormat="1" ht="18.75" x14ac:dyDescent="0.3">
      <c r="A20" s="14" t="s">
        <v>486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</row>
    <row r="21" spans="1:26" s="19" customFormat="1" ht="19.5" x14ac:dyDescent="0.35">
      <c r="A21" s="17" t="s">
        <v>279</v>
      </c>
      <c r="B21" s="17"/>
      <c r="C21" s="18">
        <f>H14</f>
        <v>0</v>
      </c>
      <c r="D21" s="18" t="s">
        <v>15</v>
      </c>
      <c r="E21" s="18">
        <f>K15</f>
        <v>0</v>
      </c>
      <c r="F21" s="17" t="s">
        <v>16</v>
      </c>
      <c r="G21" s="17"/>
      <c r="H21" s="123">
        <f>(25*C21*E21)/1000</f>
        <v>0</v>
      </c>
      <c r="I21" s="123"/>
      <c r="J21" s="17" t="s">
        <v>66</v>
      </c>
      <c r="K21" s="17"/>
      <c r="L21" s="21"/>
      <c r="M21" s="21"/>
      <c r="N21" s="21"/>
      <c r="O21" s="21"/>
      <c r="P21" s="21"/>
      <c r="Q21" s="23"/>
    </row>
    <row r="22" spans="1:26" s="5" customFormat="1" x14ac:dyDescent="0.2"/>
    <row r="23" spans="1:26" s="5" customFormat="1" x14ac:dyDescent="0.2"/>
    <row r="24" spans="1:26" s="55" customFormat="1" ht="18.75" x14ac:dyDescent="0.3">
      <c r="A24" s="59" t="s">
        <v>487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spans="1:26" ht="18.75" x14ac:dyDescent="0.3">
      <c r="A25" s="31" t="s">
        <v>488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99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18.75" x14ac:dyDescent="0.3">
      <c r="A26" s="105" t="s">
        <v>480</v>
      </c>
      <c r="B26" s="105"/>
      <c r="C26" s="105"/>
      <c r="D26" s="105"/>
      <c r="E26" s="105"/>
      <c r="F26" s="105"/>
      <c r="G26" s="105"/>
      <c r="H26" s="2"/>
      <c r="I26" s="5"/>
      <c r="J26" s="9"/>
      <c r="K26" s="5"/>
      <c r="L26" s="5"/>
      <c r="M26" s="5"/>
      <c r="N26" s="5"/>
      <c r="O26" s="5"/>
      <c r="P26" s="5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 s="5" customFormat="1" ht="18.75" x14ac:dyDescent="0.3">
      <c r="A27" s="105" t="s">
        <v>622</v>
      </c>
      <c r="B27" s="105"/>
      <c r="C27" s="105"/>
      <c r="D27" s="105"/>
      <c r="E27" s="105"/>
      <c r="F27" s="105"/>
      <c r="G27" s="105"/>
      <c r="H27" s="105"/>
      <c r="I27" s="105"/>
      <c r="J27" s="115"/>
      <c r="K27" s="106"/>
      <c r="L27" s="108"/>
      <c r="M27" s="107"/>
      <c r="Q27" s="9"/>
    </row>
    <row r="28" spans="1:26" s="16" customFormat="1" ht="18.75" x14ac:dyDescent="0.3">
      <c r="A28" s="14" t="s">
        <v>489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/>
    </row>
    <row r="29" spans="1:26" s="16" customFormat="1" ht="18.75" x14ac:dyDescent="0.3">
      <c r="A29" s="14" t="s">
        <v>490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</row>
    <row r="30" spans="1:26" s="19" customFormat="1" ht="19.5" x14ac:dyDescent="0.35">
      <c r="A30" s="17" t="s">
        <v>279</v>
      </c>
      <c r="B30" s="17"/>
      <c r="C30" s="18">
        <f>H26</f>
        <v>0</v>
      </c>
      <c r="D30" s="18" t="s">
        <v>15</v>
      </c>
      <c r="E30" s="18">
        <f>K27</f>
        <v>0</v>
      </c>
      <c r="F30" s="17" t="s">
        <v>16</v>
      </c>
      <c r="G30" s="17"/>
      <c r="H30" s="123">
        <f>(25*C30*E30)/1000</f>
        <v>0</v>
      </c>
      <c r="I30" s="123"/>
      <c r="J30" s="17" t="s">
        <v>65</v>
      </c>
      <c r="K30" s="17"/>
      <c r="L30" s="21"/>
      <c r="M30" s="21"/>
      <c r="N30" s="21"/>
      <c r="Q30" s="22"/>
    </row>
    <row r="31" spans="1:26" s="16" customFormat="1" ht="18.75" x14ac:dyDescent="0.3">
      <c r="A31" s="14" t="s">
        <v>491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/>
    </row>
    <row r="32" spans="1:26" s="16" customFormat="1" ht="18.75" x14ac:dyDescent="0.3">
      <c r="A32" s="14" t="s">
        <v>492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</row>
    <row r="33" spans="1:24" s="19" customFormat="1" ht="19.5" x14ac:dyDescent="0.35">
      <c r="A33" s="17" t="s">
        <v>193</v>
      </c>
      <c r="B33" s="17"/>
      <c r="C33" s="18">
        <f>H26</f>
        <v>0</v>
      </c>
      <c r="D33" s="18" t="s">
        <v>15</v>
      </c>
      <c r="E33" s="18">
        <f>K27</f>
        <v>0</v>
      </c>
      <c r="F33" s="17" t="s">
        <v>16</v>
      </c>
      <c r="G33" s="17"/>
      <c r="H33" s="123">
        <f>(15*C33*E33)/1000</f>
        <v>0</v>
      </c>
      <c r="I33" s="123"/>
      <c r="J33" s="17" t="s">
        <v>66</v>
      </c>
      <c r="K33" s="17"/>
      <c r="L33" s="21"/>
      <c r="M33" s="21"/>
      <c r="N33" s="21"/>
      <c r="O33" s="21"/>
      <c r="P33" s="21"/>
      <c r="Q33" s="23"/>
    </row>
    <row r="34" spans="1:24" s="5" customFormat="1" x14ac:dyDescent="0.2"/>
    <row r="35" spans="1:24" s="5" customFormat="1" x14ac:dyDescent="0.2"/>
    <row r="36" spans="1:24" s="5" customFormat="1" x14ac:dyDescent="0.2">
      <c r="Q36" s="9"/>
    </row>
    <row r="37" spans="1:24" s="5" customFormat="1" ht="18.75" x14ac:dyDescent="0.3">
      <c r="A37" s="102" t="s">
        <v>60</v>
      </c>
      <c r="B37" s="102"/>
      <c r="C37" s="102"/>
      <c r="D37" s="102"/>
      <c r="E37" s="104">
        <f>H18+H21+H30+H33</f>
        <v>0</v>
      </c>
      <c r="F37" s="104"/>
      <c r="G37" s="104"/>
      <c r="H37" s="104"/>
      <c r="I37" s="103" t="s">
        <v>27</v>
      </c>
      <c r="J37" s="103"/>
      <c r="K37" s="103"/>
      <c r="L37" s="103"/>
      <c r="Q37" s="9"/>
    </row>
    <row r="38" spans="1:24" s="5" customFormat="1" ht="18.75" x14ac:dyDescent="0.3">
      <c r="A38" s="26" t="s">
        <v>8</v>
      </c>
      <c r="Q38" s="9"/>
    </row>
    <row r="39" spans="1:24" s="5" customFormat="1" ht="18.75" x14ac:dyDescent="0.3">
      <c r="A39" s="26" t="s">
        <v>149</v>
      </c>
    </row>
    <row r="40" spans="1:24" s="5" customFormat="1" ht="12" customHeight="1" x14ac:dyDescent="0.3">
      <c r="A40" s="27"/>
      <c r="Q40" s="9"/>
    </row>
    <row r="41" spans="1:24" s="5" customFormat="1" ht="18.75" x14ac:dyDescent="0.3">
      <c r="A41" s="26" t="s">
        <v>9</v>
      </c>
      <c r="Q41" s="9"/>
    </row>
    <row r="42" spans="1:24" s="5" customFormat="1" ht="18.75" x14ac:dyDescent="0.3">
      <c r="A42" s="26"/>
      <c r="Q42" s="9"/>
    </row>
    <row r="43" spans="1:24" s="5" customFormat="1" ht="18.75" x14ac:dyDescent="0.3">
      <c r="A43" s="26" t="s">
        <v>10</v>
      </c>
      <c r="Q43" s="9"/>
    </row>
    <row r="44" spans="1:24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</row>
    <row r="45" spans="1:24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</row>
    <row r="46" spans="1:24" x14ac:dyDescent="0.2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</row>
    <row r="47" spans="1:24" x14ac:dyDescent="0.2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</row>
    <row r="48" spans="1:24" x14ac:dyDescent="0.2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</row>
    <row r="49" spans="1:24" x14ac:dyDescent="0.2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</row>
    <row r="50" spans="1:24" x14ac:dyDescent="0.2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</row>
    <row r="51" spans="1:24" x14ac:dyDescent="0.2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</row>
    <row r="52" spans="1:24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</row>
    <row r="53" spans="1:24" x14ac:dyDescent="0.2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</row>
    <row r="54" spans="1:24" x14ac:dyDescent="0.2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</row>
    <row r="55" spans="1:24" x14ac:dyDescent="0.2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</row>
    <row r="56" spans="1:24" x14ac:dyDescent="0.2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 x14ac:dyDescent="0.2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</row>
    <row r="58" spans="1:24" x14ac:dyDescent="0.2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</row>
  </sheetData>
  <sheetProtection password="CA9C" sheet="1" objects="1" scenarios="1"/>
  <protectedRanges>
    <protectedRange sqref="A4 G6 J6 J8 A10 H14 K15 H26 K27" name="Диапазон1"/>
  </protectedRanges>
  <mergeCells count="24">
    <mergeCell ref="A1:P1"/>
    <mergeCell ref="A2:P2"/>
    <mergeCell ref="A3:P3"/>
    <mergeCell ref="A4:P4"/>
    <mergeCell ref="A5:P5"/>
    <mergeCell ref="A37:D37"/>
    <mergeCell ref="E37:H37"/>
    <mergeCell ref="I37:L37"/>
    <mergeCell ref="A26:G26"/>
    <mergeCell ref="A27:J27"/>
    <mergeCell ref="K27:M27"/>
    <mergeCell ref="H30:I30"/>
    <mergeCell ref="H33:I33"/>
    <mergeCell ref="G6:H6"/>
    <mergeCell ref="J6:M6"/>
    <mergeCell ref="A15:J15"/>
    <mergeCell ref="K15:M15"/>
    <mergeCell ref="A8:I8"/>
    <mergeCell ref="J8:P8"/>
    <mergeCell ref="A10:P10"/>
    <mergeCell ref="A14:G14"/>
    <mergeCell ref="C6:F6"/>
    <mergeCell ref="H18:I18"/>
    <mergeCell ref="H21:I21"/>
  </mergeCells>
  <pageMargins left="0.7" right="0.7" top="0.75" bottom="0.75" header="0.3" footer="0.3"/>
  <pageSetup paperSize="9" scale="74" fitToHeight="0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103"/>
  <sheetViews>
    <sheetView workbookViewId="0">
      <selection activeCell="F12" sqref="F12:H12"/>
    </sheetView>
  </sheetViews>
  <sheetFormatPr defaultRowHeight="12.75" x14ac:dyDescent="0.2"/>
  <cols>
    <col min="7" max="7" width="7.5703125" customWidth="1"/>
    <col min="8" max="8" width="6.7109375" customWidth="1"/>
    <col min="12" max="12" width="5.85546875" customWidth="1"/>
    <col min="13" max="16" width="0.140625" customWidth="1"/>
  </cols>
  <sheetData>
    <row r="1" spans="1:24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4"/>
      <c r="R1" s="16"/>
      <c r="S1" s="16"/>
      <c r="T1" s="16"/>
      <c r="U1" s="16"/>
      <c r="V1" s="16"/>
      <c r="W1" s="16"/>
      <c r="X1" s="16"/>
    </row>
    <row r="2" spans="1:24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4"/>
      <c r="R2" s="16"/>
      <c r="S2" s="16"/>
      <c r="T2" s="16"/>
      <c r="U2" s="16"/>
      <c r="V2" s="16"/>
      <c r="W2" s="16"/>
      <c r="X2" s="16"/>
    </row>
    <row r="3" spans="1:24" ht="19.5" customHeight="1" x14ac:dyDescent="0.3">
      <c r="A3" s="124" t="s">
        <v>542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</row>
    <row r="4" spans="1:24" ht="19.5" customHeight="1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</row>
    <row r="5" spans="1:24" ht="12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</row>
    <row r="6" spans="1:24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  <c r="R6" s="16"/>
      <c r="S6" s="16"/>
      <c r="T6" s="16"/>
      <c r="U6" s="16"/>
      <c r="V6" s="16"/>
      <c r="W6" s="16"/>
      <c r="X6" s="16"/>
    </row>
    <row r="7" spans="1:24" ht="18.75" x14ac:dyDescent="0.3">
      <c r="A7" s="10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9"/>
      <c r="R7" s="16"/>
      <c r="S7" s="16"/>
      <c r="T7" s="16"/>
      <c r="U7" s="16"/>
      <c r="V7" s="16"/>
      <c r="W7" s="16"/>
      <c r="X7" s="16"/>
    </row>
    <row r="8" spans="1:24" ht="18.75" x14ac:dyDescent="0.3">
      <c r="A8" s="105" t="s">
        <v>75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Q8" s="9"/>
      <c r="R8" s="16"/>
      <c r="S8" s="16"/>
      <c r="T8" s="16"/>
      <c r="U8" s="16"/>
      <c r="V8" s="16"/>
      <c r="W8" s="16"/>
      <c r="X8" s="16"/>
    </row>
    <row r="9" spans="1:24" ht="18.75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  <c r="R9" s="16"/>
      <c r="S9" s="16"/>
      <c r="T9" s="16"/>
      <c r="U9" s="16"/>
      <c r="V9" s="16"/>
      <c r="W9" s="16"/>
      <c r="X9" s="16"/>
    </row>
    <row r="10" spans="1:24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Q10" s="9"/>
      <c r="R10" s="16"/>
      <c r="S10" s="16"/>
      <c r="T10" s="16"/>
      <c r="U10" s="16"/>
      <c r="V10" s="16"/>
      <c r="W10" s="16"/>
      <c r="X10" s="16"/>
    </row>
    <row r="11" spans="1:24" s="58" customFormat="1" ht="18.75" x14ac:dyDescent="0.3">
      <c r="A11" s="50" t="s">
        <v>543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16"/>
      <c r="S11" s="16"/>
      <c r="T11" s="16"/>
      <c r="U11" s="16"/>
      <c r="V11" s="16"/>
      <c r="W11" s="16"/>
      <c r="X11" s="16"/>
    </row>
    <row r="12" spans="1:24" ht="18.75" x14ac:dyDescent="0.3">
      <c r="A12" s="105" t="s">
        <v>546</v>
      </c>
      <c r="B12" s="105"/>
      <c r="C12" s="105"/>
      <c r="D12" s="105"/>
      <c r="E12" s="105"/>
      <c r="F12" s="106"/>
      <c r="G12" s="108"/>
      <c r="H12" s="107"/>
      <c r="I12" s="30"/>
      <c r="J12" s="5"/>
      <c r="K12" s="5"/>
      <c r="L12" s="5"/>
      <c r="M12" s="5"/>
      <c r="N12" s="5"/>
      <c r="O12" s="5"/>
      <c r="P12" s="5"/>
      <c r="Q12" s="9"/>
      <c r="R12" s="16"/>
      <c r="S12" s="16"/>
      <c r="T12" s="16"/>
      <c r="U12" s="16"/>
      <c r="V12" s="16"/>
      <c r="W12" s="16"/>
      <c r="X12" s="16"/>
    </row>
    <row r="13" spans="1:24" ht="18.75" x14ac:dyDescent="0.3">
      <c r="A13" s="11"/>
      <c r="B13" s="11"/>
      <c r="C13" s="11"/>
      <c r="D13" s="11"/>
      <c r="E13" s="5"/>
      <c r="F13" s="5"/>
      <c r="G13" s="5"/>
      <c r="H13" s="5"/>
      <c r="I13" s="5"/>
      <c r="J13" s="9"/>
      <c r="K13" s="5"/>
      <c r="L13" s="5"/>
      <c r="M13" s="5"/>
      <c r="N13" s="5"/>
      <c r="O13" s="5"/>
      <c r="P13" s="5"/>
      <c r="Q13" s="9"/>
      <c r="R13" s="5"/>
      <c r="S13" s="5"/>
      <c r="T13" s="5"/>
      <c r="U13" s="5"/>
      <c r="V13" s="5"/>
      <c r="W13" s="5"/>
      <c r="X13" s="5"/>
    </row>
    <row r="14" spans="1:24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  <c r="K14" s="5"/>
      <c r="L14" s="5"/>
      <c r="M14" s="5"/>
      <c r="N14" s="5"/>
      <c r="O14" s="5"/>
      <c r="P14" s="5"/>
      <c r="Q14" s="9"/>
      <c r="R14" s="5"/>
      <c r="S14" s="5"/>
      <c r="T14" s="5"/>
      <c r="U14" s="5"/>
      <c r="V14" s="5"/>
      <c r="W14" s="5"/>
      <c r="X14" s="5"/>
    </row>
    <row r="15" spans="1:24" ht="18.75" x14ac:dyDescent="0.3">
      <c r="A15" s="14" t="s">
        <v>544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R15" s="16"/>
      <c r="S15" s="16"/>
      <c r="T15" s="16"/>
      <c r="U15" s="16"/>
      <c r="V15" s="16"/>
      <c r="W15" s="16"/>
      <c r="X15" s="16"/>
    </row>
    <row r="16" spans="1:24" ht="18.75" x14ac:dyDescent="0.3">
      <c r="A16" s="14" t="s">
        <v>547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5"/>
      <c r="R16" s="16"/>
      <c r="S16" s="16"/>
      <c r="T16" s="16"/>
      <c r="U16" s="16"/>
      <c r="V16" s="16"/>
      <c r="W16" s="16"/>
      <c r="X16" s="16"/>
    </row>
    <row r="17" spans="1:24" ht="19.5" x14ac:dyDescent="0.35">
      <c r="A17" s="17" t="s">
        <v>202</v>
      </c>
      <c r="B17" s="17"/>
      <c r="C17" s="18">
        <f>F12</f>
        <v>0</v>
      </c>
      <c r="D17" s="18" t="s">
        <v>15</v>
      </c>
      <c r="E17" s="18">
        <f>F14</f>
        <v>0</v>
      </c>
      <c r="F17" s="17" t="s">
        <v>16</v>
      </c>
      <c r="G17" s="17"/>
      <c r="H17" s="125">
        <f>(270*C17*E17)/1000</f>
        <v>0</v>
      </c>
      <c r="I17" s="125"/>
      <c r="J17" s="17" t="s">
        <v>65</v>
      </c>
      <c r="K17" s="17"/>
      <c r="L17" s="21"/>
      <c r="M17" s="21"/>
      <c r="N17" s="21"/>
      <c r="O17" s="19"/>
      <c r="P17" s="19"/>
      <c r="Q17" s="22"/>
      <c r="R17" s="19"/>
      <c r="S17" s="19"/>
      <c r="T17" s="19"/>
      <c r="U17" s="19"/>
      <c r="V17" s="19"/>
      <c r="W17" s="19"/>
      <c r="X17" s="19"/>
    </row>
    <row r="18" spans="1:24" ht="18.75" x14ac:dyDescent="0.3">
      <c r="A18" s="14" t="s">
        <v>545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6"/>
      <c r="S18" s="16"/>
      <c r="T18" s="16"/>
      <c r="U18" s="16"/>
      <c r="V18" s="16"/>
      <c r="W18" s="16"/>
      <c r="X18" s="16"/>
    </row>
    <row r="19" spans="1:24" ht="18.75" x14ac:dyDescent="0.3">
      <c r="A19" s="14" t="s">
        <v>548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16"/>
      <c r="S19" s="16"/>
      <c r="T19" s="16"/>
      <c r="U19" s="16"/>
      <c r="V19" s="16"/>
      <c r="W19" s="16"/>
      <c r="X19" s="16"/>
    </row>
    <row r="20" spans="1:24" ht="19.5" x14ac:dyDescent="0.35">
      <c r="A20" s="17" t="s">
        <v>549</v>
      </c>
      <c r="B20" s="17"/>
      <c r="C20" s="18">
        <f>F12</f>
        <v>0</v>
      </c>
      <c r="D20" s="18" t="s">
        <v>15</v>
      </c>
      <c r="E20" s="18">
        <f>F14</f>
        <v>0</v>
      </c>
      <c r="F20" s="17" t="s">
        <v>16</v>
      </c>
      <c r="G20" s="17"/>
      <c r="H20" s="125">
        <f>(230*C20*E20)/1000</f>
        <v>0</v>
      </c>
      <c r="I20" s="125"/>
      <c r="J20" s="17" t="s">
        <v>66</v>
      </c>
      <c r="K20" s="17"/>
      <c r="L20" s="21"/>
      <c r="M20" s="21"/>
      <c r="N20" s="21"/>
      <c r="O20" s="21"/>
      <c r="P20" s="21"/>
      <c r="Q20" s="23"/>
      <c r="R20" s="19"/>
      <c r="S20" s="19"/>
      <c r="T20" s="19"/>
      <c r="U20" s="19"/>
      <c r="V20" s="19"/>
      <c r="W20" s="19"/>
      <c r="X20" s="19"/>
    </row>
    <row r="21" spans="1:24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2"/>
      <c r="R21" s="5"/>
      <c r="S21" s="5"/>
      <c r="T21" s="5"/>
      <c r="U21" s="5"/>
      <c r="V21" s="5"/>
      <c r="W21" s="5"/>
      <c r="X21" s="5"/>
    </row>
    <row r="22" spans="1:24" ht="18.75" x14ac:dyDescent="0.3">
      <c r="A22" s="2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9"/>
      <c r="R22" s="5"/>
      <c r="S22" s="5"/>
      <c r="T22" s="5"/>
      <c r="U22" s="5"/>
      <c r="V22" s="5"/>
      <c r="W22" s="5"/>
      <c r="X22" s="5"/>
    </row>
    <row r="23" spans="1:24" ht="18.75" x14ac:dyDescent="0.3">
      <c r="A23" s="102" t="s">
        <v>60</v>
      </c>
      <c r="B23" s="102"/>
      <c r="C23" s="102"/>
      <c r="D23" s="102"/>
      <c r="E23" s="104">
        <f>H17+H20</f>
        <v>0</v>
      </c>
      <c r="F23" s="104"/>
      <c r="G23" s="104"/>
      <c r="H23" s="104"/>
      <c r="I23" s="103" t="s">
        <v>27</v>
      </c>
      <c r="J23" s="103"/>
      <c r="K23" s="103"/>
      <c r="L23" s="103"/>
      <c r="M23" s="5"/>
      <c r="N23" s="5"/>
      <c r="O23" s="5"/>
      <c r="P23" s="5"/>
      <c r="Q23" s="9"/>
      <c r="R23" s="5"/>
      <c r="S23" s="5"/>
      <c r="T23" s="5"/>
      <c r="U23" s="5"/>
      <c r="V23" s="5"/>
      <c r="W23" s="5"/>
      <c r="X23" s="5"/>
    </row>
    <row r="24" spans="1:24" ht="18.75" x14ac:dyDescent="0.3">
      <c r="A24" s="44"/>
      <c r="B24" s="44"/>
      <c r="C24" s="44"/>
      <c r="D24" s="44"/>
      <c r="E24" s="24"/>
      <c r="F24" s="24"/>
      <c r="G24" s="24"/>
      <c r="H24" s="24"/>
      <c r="I24" s="25"/>
      <c r="J24" s="25"/>
      <c r="K24" s="25"/>
      <c r="L24" s="25"/>
      <c r="M24" s="5"/>
      <c r="N24" s="5"/>
      <c r="O24" s="5"/>
      <c r="P24" s="5"/>
      <c r="Q24" s="9"/>
      <c r="R24" s="5"/>
      <c r="S24" s="5"/>
      <c r="T24" s="5"/>
      <c r="U24" s="5"/>
      <c r="V24" s="5"/>
      <c r="W24" s="5"/>
      <c r="X24" s="5"/>
    </row>
    <row r="25" spans="1:24" s="58" customFormat="1" ht="18.75" x14ac:dyDescent="0.3">
      <c r="A25" s="50" t="s">
        <v>550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1:24" ht="18.75" x14ac:dyDescent="0.3">
      <c r="A26" s="105" t="s">
        <v>546</v>
      </c>
      <c r="B26" s="105"/>
      <c r="C26" s="105"/>
      <c r="D26" s="105"/>
      <c r="E26" s="105"/>
      <c r="F26" s="106"/>
      <c r="G26" s="108"/>
      <c r="H26" s="107"/>
      <c r="I26" s="30"/>
      <c r="J26" s="5"/>
      <c r="K26" s="5"/>
      <c r="L26" s="5"/>
      <c r="M26" s="5"/>
      <c r="N26" s="5"/>
      <c r="O26" s="5"/>
      <c r="P26" s="5"/>
      <c r="Q26" s="9"/>
      <c r="R26" s="5"/>
      <c r="S26" s="5"/>
      <c r="T26" s="5"/>
      <c r="U26" s="5"/>
      <c r="V26" s="5"/>
      <c r="W26" s="5"/>
      <c r="X26" s="5"/>
    </row>
    <row r="27" spans="1:24" ht="18.75" x14ac:dyDescent="0.3">
      <c r="A27" s="11"/>
      <c r="B27" s="11"/>
      <c r="C27" s="11"/>
      <c r="D27" s="11"/>
      <c r="E27" s="5"/>
      <c r="F27" s="5"/>
      <c r="G27" s="5"/>
      <c r="H27" s="5"/>
      <c r="I27" s="5"/>
      <c r="J27" s="9"/>
      <c r="K27" s="5"/>
      <c r="L27" s="5"/>
      <c r="M27" s="5"/>
      <c r="N27" s="5"/>
      <c r="O27" s="5"/>
      <c r="P27" s="5"/>
      <c r="Q27" s="9"/>
      <c r="R27" s="5"/>
      <c r="S27" s="5"/>
      <c r="T27" s="5"/>
      <c r="U27" s="5"/>
      <c r="V27" s="5"/>
      <c r="W27" s="5"/>
      <c r="X27" s="5"/>
    </row>
    <row r="28" spans="1:24" ht="18.75" x14ac:dyDescent="0.3">
      <c r="A28" s="105" t="s">
        <v>64</v>
      </c>
      <c r="B28" s="105"/>
      <c r="C28" s="105"/>
      <c r="D28" s="105"/>
      <c r="E28" s="105"/>
      <c r="F28" s="106"/>
      <c r="G28" s="108"/>
      <c r="H28" s="107"/>
      <c r="I28" s="15" t="s">
        <v>69</v>
      </c>
      <c r="J28" s="9"/>
      <c r="K28" s="5"/>
      <c r="L28" s="5"/>
      <c r="M28" s="5"/>
      <c r="N28" s="5"/>
      <c r="O28" s="5"/>
      <c r="P28" s="5"/>
      <c r="Q28" s="9"/>
      <c r="R28" s="5"/>
      <c r="S28" s="5"/>
      <c r="T28" s="5"/>
      <c r="U28" s="5"/>
      <c r="V28" s="5"/>
      <c r="W28" s="5"/>
      <c r="X28" s="5"/>
    </row>
    <row r="29" spans="1:24" ht="18.75" x14ac:dyDescent="0.3">
      <c r="A29" s="14" t="s">
        <v>551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/>
      <c r="R29" s="16"/>
      <c r="S29" s="16"/>
      <c r="T29" s="16"/>
      <c r="U29" s="16"/>
      <c r="V29" s="16"/>
      <c r="W29" s="16"/>
      <c r="X29" s="16"/>
    </row>
    <row r="30" spans="1:24" ht="18.75" x14ac:dyDescent="0.3">
      <c r="A30" s="14" t="s">
        <v>552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  <c r="R30" s="16"/>
      <c r="S30" s="16"/>
      <c r="T30" s="16"/>
      <c r="U30" s="16"/>
      <c r="V30" s="16"/>
      <c r="W30" s="16"/>
      <c r="X30" s="16"/>
    </row>
    <row r="31" spans="1:24" ht="19.5" x14ac:dyDescent="0.35">
      <c r="A31" s="17" t="s">
        <v>177</v>
      </c>
      <c r="B31" s="17"/>
      <c r="C31" s="18">
        <f>F26</f>
        <v>0</v>
      </c>
      <c r="D31" s="18" t="s">
        <v>15</v>
      </c>
      <c r="E31" s="18">
        <f>F28</f>
        <v>0</v>
      </c>
      <c r="F31" s="17" t="s">
        <v>16</v>
      </c>
      <c r="G31" s="17"/>
      <c r="H31" s="125">
        <f>(90*C31*E31)/1000</f>
        <v>0</v>
      </c>
      <c r="I31" s="125"/>
      <c r="J31" s="17" t="s">
        <v>65</v>
      </c>
      <c r="K31" s="17"/>
      <c r="L31" s="21"/>
      <c r="M31" s="21"/>
      <c r="N31" s="21"/>
      <c r="O31" s="19"/>
      <c r="P31" s="19"/>
      <c r="Q31" s="22"/>
      <c r="R31" s="19"/>
      <c r="S31" s="19"/>
      <c r="T31" s="19"/>
      <c r="U31" s="19"/>
      <c r="V31" s="19"/>
      <c r="W31" s="19"/>
      <c r="X31" s="19"/>
    </row>
    <row r="32" spans="1:24" ht="18.75" x14ac:dyDescent="0.3">
      <c r="A32" s="14" t="s">
        <v>553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  <c r="R32" s="16"/>
      <c r="S32" s="16"/>
      <c r="T32" s="16"/>
      <c r="U32" s="16"/>
      <c r="V32" s="16"/>
      <c r="W32" s="16"/>
      <c r="X32" s="16"/>
    </row>
    <row r="33" spans="1:24" ht="18.75" x14ac:dyDescent="0.3">
      <c r="A33" s="14" t="s">
        <v>554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  <c r="R33" s="16"/>
      <c r="S33" s="16"/>
      <c r="T33" s="16"/>
      <c r="U33" s="16"/>
      <c r="V33" s="16"/>
      <c r="W33" s="16"/>
      <c r="X33" s="16"/>
    </row>
    <row r="34" spans="1:24" ht="19.5" x14ac:dyDescent="0.35">
      <c r="A34" s="17" t="s">
        <v>555</v>
      </c>
      <c r="B34" s="17"/>
      <c r="C34" s="18">
        <f>F26</f>
        <v>0</v>
      </c>
      <c r="D34" s="18" t="s">
        <v>15</v>
      </c>
      <c r="E34" s="18">
        <f>F28</f>
        <v>0</v>
      </c>
      <c r="F34" s="17" t="s">
        <v>16</v>
      </c>
      <c r="G34" s="17"/>
      <c r="H34" s="125">
        <f>(140*C34*E34)/1000</f>
        <v>0</v>
      </c>
      <c r="I34" s="125"/>
      <c r="J34" s="17" t="s">
        <v>66</v>
      </c>
      <c r="K34" s="17"/>
      <c r="L34" s="21"/>
      <c r="M34" s="21"/>
      <c r="N34" s="21"/>
      <c r="O34" s="21"/>
      <c r="P34" s="21"/>
      <c r="Q34" s="23"/>
      <c r="R34" s="19"/>
      <c r="S34" s="19"/>
      <c r="T34" s="19"/>
      <c r="U34" s="19"/>
      <c r="V34" s="19"/>
      <c r="W34" s="19"/>
      <c r="X34" s="19"/>
    </row>
    <row r="35" spans="1:24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2"/>
      <c r="R35" s="5"/>
      <c r="S35" s="5"/>
      <c r="T35" s="5"/>
      <c r="U35" s="5"/>
      <c r="V35" s="5"/>
      <c r="W35" s="5"/>
      <c r="X35" s="5"/>
    </row>
    <row r="36" spans="1:24" ht="18.75" x14ac:dyDescent="0.3">
      <c r="A36" s="102" t="s">
        <v>60</v>
      </c>
      <c r="B36" s="102"/>
      <c r="C36" s="102"/>
      <c r="D36" s="102"/>
      <c r="E36" s="104">
        <f>H31+H34</f>
        <v>0</v>
      </c>
      <c r="F36" s="104"/>
      <c r="G36" s="104"/>
      <c r="H36" s="104"/>
      <c r="I36" s="103" t="s">
        <v>27</v>
      </c>
      <c r="J36" s="103"/>
      <c r="K36" s="103"/>
      <c r="L36" s="103"/>
      <c r="M36" s="5"/>
      <c r="N36" s="5"/>
      <c r="O36" s="5"/>
      <c r="P36" s="5"/>
      <c r="Q36" s="9"/>
      <c r="R36" s="5"/>
      <c r="S36" s="5"/>
      <c r="T36" s="5"/>
      <c r="U36" s="5"/>
      <c r="V36" s="5"/>
      <c r="W36" s="5"/>
      <c r="X36" s="5"/>
    </row>
    <row r="37" spans="1:24" ht="18.75" x14ac:dyDescent="0.3">
      <c r="A37" s="44"/>
      <c r="B37" s="44"/>
      <c r="C37" s="44"/>
      <c r="D37" s="44"/>
      <c r="E37" s="24"/>
      <c r="F37" s="24"/>
      <c r="G37" s="24"/>
      <c r="H37" s="24"/>
      <c r="I37" s="25"/>
      <c r="J37" s="25"/>
      <c r="K37" s="25"/>
      <c r="L37" s="25"/>
      <c r="M37" s="5"/>
      <c r="N37" s="5"/>
      <c r="O37" s="5"/>
      <c r="P37" s="5"/>
      <c r="Q37" s="9"/>
      <c r="R37" s="5"/>
      <c r="S37" s="5"/>
      <c r="T37" s="5"/>
      <c r="U37" s="5"/>
      <c r="V37" s="5"/>
      <c r="W37" s="5"/>
      <c r="X37" s="5"/>
    </row>
    <row r="38" spans="1:24" s="58" customFormat="1" ht="18.75" x14ac:dyDescent="0.3">
      <c r="A38" s="50" t="s">
        <v>556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3"/>
      <c r="R38" s="52"/>
      <c r="S38" s="52"/>
      <c r="T38" s="52"/>
      <c r="U38" s="52"/>
      <c r="V38" s="52"/>
      <c r="W38" s="52"/>
      <c r="X38" s="52"/>
    </row>
    <row r="39" spans="1:24" ht="18.75" x14ac:dyDescent="0.3">
      <c r="A39" s="105" t="s">
        <v>557</v>
      </c>
      <c r="B39" s="105"/>
      <c r="C39" s="105"/>
      <c r="D39" s="105"/>
      <c r="E39" s="105"/>
      <c r="F39" s="106"/>
      <c r="G39" s="108"/>
      <c r="H39" s="107"/>
      <c r="I39" s="30"/>
      <c r="J39" s="5"/>
      <c r="K39" s="5"/>
      <c r="L39" s="5"/>
      <c r="M39" s="5"/>
      <c r="N39" s="5"/>
      <c r="O39" s="5"/>
      <c r="P39" s="5"/>
      <c r="Q39" s="9"/>
      <c r="R39" s="5"/>
      <c r="S39" s="5"/>
      <c r="T39" s="5"/>
      <c r="U39" s="5"/>
      <c r="V39" s="5"/>
      <c r="W39" s="5"/>
      <c r="X39" s="5"/>
    </row>
    <row r="40" spans="1:24" ht="18.75" x14ac:dyDescent="0.3">
      <c r="A40" s="11"/>
      <c r="B40" s="11"/>
      <c r="C40" s="11"/>
      <c r="D40" s="11"/>
      <c r="E40" s="5"/>
      <c r="F40" s="5"/>
      <c r="G40" s="5"/>
      <c r="H40" s="5"/>
      <c r="I40" s="5"/>
      <c r="J40" s="9"/>
      <c r="K40" s="5"/>
      <c r="L40" s="5"/>
      <c r="M40" s="5"/>
      <c r="N40" s="5"/>
      <c r="O40" s="5"/>
      <c r="P40" s="5"/>
      <c r="Q40" s="9"/>
      <c r="R40" s="5"/>
      <c r="S40" s="5"/>
      <c r="T40" s="5"/>
      <c r="U40" s="5"/>
      <c r="V40" s="5"/>
      <c r="W40" s="5"/>
      <c r="X40" s="5"/>
    </row>
    <row r="41" spans="1:24" ht="18.75" x14ac:dyDescent="0.3">
      <c r="A41" s="105" t="s">
        <v>64</v>
      </c>
      <c r="B41" s="105"/>
      <c r="C41" s="105"/>
      <c r="D41" s="105"/>
      <c r="E41" s="105"/>
      <c r="F41" s="106"/>
      <c r="G41" s="108"/>
      <c r="H41" s="107"/>
      <c r="I41" s="15" t="s">
        <v>69</v>
      </c>
      <c r="J41" s="9"/>
      <c r="K41" s="5"/>
      <c r="L41" s="5"/>
      <c r="M41" s="5"/>
      <c r="N41" s="5"/>
      <c r="O41" s="5"/>
      <c r="P41" s="5"/>
      <c r="Q41" s="9"/>
      <c r="R41" s="5"/>
      <c r="S41" s="5"/>
      <c r="T41" s="5"/>
      <c r="U41" s="5"/>
      <c r="V41" s="5"/>
      <c r="W41" s="5"/>
      <c r="X41" s="5"/>
    </row>
    <row r="42" spans="1:24" ht="18.75" x14ac:dyDescent="0.3">
      <c r="A42" s="26" t="s">
        <v>575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9"/>
      <c r="R42" s="5"/>
      <c r="S42" s="5"/>
      <c r="T42" s="5"/>
      <c r="U42" s="5"/>
      <c r="V42" s="5"/>
      <c r="W42" s="5"/>
      <c r="X42" s="5"/>
    </row>
    <row r="43" spans="1:24" ht="18.75" x14ac:dyDescent="0.3">
      <c r="A43" s="26" t="s">
        <v>558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9"/>
      <c r="R43" s="5"/>
      <c r="S43" s="5"/>
      <c r="T43" s="5"/>
      <c r="U43" s="5"/>
      <c r="V43" s="5"/>
      <c r="W43" s="5"/>
      <c r="X43" s="5"/>
    </row>
    <row r="44" spans="1:24" ht="19.5" x14ac:dyDescent="0.35">
      <c r="A44" s="61" t="s">
        <v>161</v>
      </c>
      <c r="B44" s="73"/>
      <c r="C44" s="18">
        <f>F39</f>
        <v>0</v>
      </c>
      <c r="D44" s="61" t="s">
        <v>15</v>
      </c>
      <c r="E44" s="18">
        <f>F41</f>
        <v>0</v>
      </c>
      <c r="F44" s="61" t="s">
        <v>16</v>
      </c>
      <c r="G44" s="61"/>
      <c r="H44" s="123">
        <f>(60*C44*E44)/1000</f>
        <v>0</v>
      </c>
      <c r="I44" s="123"/>
      <c r="J44" s="61" t="s">
        <v>65</v>
      </c>
      <c r="K44" s="61"/>
      <c r="L44" s="5"/>
      <c r="M44" s="5"/>
      <c r="N44" s="5"/>
      <c r="O44" s="5"/>
      <c r="P44" s="5"/>
      <c r="Q44" s="9"/>
      <c r="R44" s="5"/>
      <c r="S44" s="5"/>
      <c r="T44" s="5"/>
      <c r="U44" s="5"/>
      <c r="V44" s="5"/>
      <c r="W44" s="5"/>
      <c r="X44" s="5"/>
    </row>
    <row r="45" spans="1:24" ht="18.75" x14ac:dyDescent="0.3">
      <c r="A45" s="26" t="s">
        <v>576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9"/>
      <c r="R45" s="5"/>
      <c r="S45" s="5"/>
      <c r="T45" s="5"/>
      <c r="U45" s="5"/>
      <c r="V45" s="5"/>
      <c r="W45" s="5"/>
      <c r="X45" s="5"/>
    </row>
    <row r="46" spans="1:24" ht="18.75" x14ac:dyDescent="0.3">
      <c r="A46" s="26" t="s">
        <v>559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9"/>
      <c r="R46" s="5"/>
      <c r="S46" s="5"/>
      <c r="T46" s="5"/>
      <c r="U46" s="5"/>
      <c r="V46" s="5"/>
      <c r="W46" s="5"/>
      <c r="X46" s="5"/>
    </row>
    <row r="47" spans="1:24" ht="19.5" x14ac:dyDescent="0.35">
      <c r="A47" s="61" t="s">
        <v>560</v>
      </c>
      <c r="B47" s="61"/>
      <c r="C47" s="18">
        <f>F39</f>
        <v>0</v>
      </c>
      <c r="D47" s="61" t="s">
        <v>15</v>
      </c>
      <c r="E47" s="18">
        <f>F41</f>
        <v>0</v>
      </c>
      <c r="F47" s="61" t="s">
        <v>16</v>
      </c>
      <c r="G47" s="61"/>
      <c r="H47" s="123">
        <f>(60*C47*E47)/1000</f>
        <v>0</v>
      </c>
      <c r="I47" s="123"/>
      <c r="J47" s="61" t="s">
        <v>66</v>
      </c>
      <c r="K47" s="61"/>
      <c r="L47" s="5"/>
      <c r="M47" s="5"/>
      <c r="N47" s="5"/>
      <c r="O47" s="5"/>
      <c r="P47" s="5"/>
      <c r="Q47" s="9"/>
      <c r="R47" s="5"/>
      <c r="S47" s="5"/>
      <c r="T47" s="5"/>
      <c r="U47" s="5"/>
      <c r="V47" s="5"/>
      <c r="W47" s="5"/>
      <c r="X47" s="5"/>
    </row>
    <row r="48" spans="1:24" ht="18.75" x14ac:dyDescent="0.3">
      <c r="A48" s="2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9"/>
      <c r="R48" s="5"/>
      <c r="S48" s="5"/>
      <c r="T48" s="5"/>
      <c r="U48" s="5"/>
      <c r="V48" s="5"/>
      <c r="W48" s="5"/>
      <c r="X48" s="5"/>
    </row>
    <row r="49" spans="1:24" ht="18.75" x14ac:dyDescent="0.3">
      <c r="A49" s="102" t="s">
        <v>60</v>
      </c>
      <c r="B49" s="102"/>
      <c r="C49" s="102"/>
      <c r="D49" s="102"/>
      <c r="E49" s="104">
        <f>H44+H47</f>
        <v>0</v>
      </c>
      <c r="F49" s="104"/>
      <c r="G49" s="104"/>
      <c r="H49" s="104"/>
      <c r="I49" s="103" t="s">
        <v>27</v>
      </c>
      <c r="J49" s="103"/>
      <c r="K49" s="103"/>
      <c r="L49" s="103"/>
      <c r="M49" s="5"/>
      <c r="N49" s="5"/>
      <c r="O49" s="5"/>
      <c r="P49" s="5"/>
      <c r="Q49" s="9"/>
      <c r="R49" s="5"/>
      <c r="S49" s="5"/>
      <c r="T49" s="5"/>
      <c r="U49" s="5"/>
      <c r="V49" s="5"/>
      <c r="W49" s="5"/>
      <c r="X49" s="5"/>
    </row>
    <row r="50" spans="1:24" ht="18.75" x14ac:dyDescent="0.3">
      <c r="A50" s="2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9"/>
      <c r="R50" s="5"/>
      <c r="S50" s="5"/>
      <c r="T50" s="5"/>
      <c r="U50" s="5"/>
      <c r="V50" s="5"/>
      <c r="W50" s="5"/>
      <c r="X50" s="5"/>
    </row>
    <row r="51" spans="1:24" s="58" customFormat="1" ht="18.75" x14ac:dyDescent="0.3">
      <c r="A51" s="50" t="s">
        <v>561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3"/>
      <c r="R51" s="52"/>
      <c r="S51" s="52"/>
      <c r="T51" s="52"/>
      <c r="U51" s="52"/>
      <c r="V51" s="52"/>
      <c r="W51" s="52"/>
      <c r="X51" s="52"/>
    </row>
    <row r="52" spans="1:24" ht="18.75" x14ac:dyDescent="0.3">
      <c r="A52" s="105" t="s">
        <v>557</v>
      </c>
      <c r="B52" s="105"/>
      <c r="C52" s="105"/>
      <c r="D52" s="105"/>
      <c r="E52" s="105"/>
      <c r="F52" s="106"/>
      <c r="G52" s="108"/>
      <c r="H52" s="107"/>
      <c r="I52" s="30"/>
      <c r="J52" s="5"/>
      <c r="K52" s="5"/>
      <c r="L52" s="5"/>
      <c r="M52" s="5"/>
      <c r="N52" s="5"/>
      <c r="O52" s="5"/>
      <c r="P52" s="5"/>
      <c r="Q52" s="9"/>
      <c r="R52" s="5"/>
      <c r="S52" s="5"/>
      <c r="T52" s="5"/>
      <c r="U52" s="5"/>
      <c r="V52" s="5"/>
      <c r="W52" s="5"/>
      <c r="X52" s="5"/>
    </row>
    <row r="53" spans="1:24" ht="18.75" x14ac:dyDescent="0.3">
      <c r="A53" s="11"/>
      <c r="B53" s="11"/>
      <c r="C53" s="11"/>
      <c r="D53" s="11"/>
      <c r="E53" s="5"/>
      <c r="F53" s="5"/>
      <c r="G53" s="5"/>
      <c r="H53" s="5"/>
      <c r="I53" s="5"/>
      <c r="J53" s="9"/>
      <c r="K53" s="5"/>
      <c r="L53" s="5"/>
      <c r="M53" s="5"/>
      <c r="N53" s="5"/>
      <c r="O53" s="5"/>
      <c r="P53" s="5"/>
      <c r="Q53" s="9"/>
      <c r="R53" s="5"/>
      <c r="S53" s="5"/>
      <c r="T53" s="5"/>
      <c r="U53" s="5"/>
      <c r="V53" s="5"/>
      <c r="W53" s="5"/>
      <c r="X53" s="5"/>
    </row>
    <row r="54" spans="1:24" ht="18.75" x14ac:dyDescent="0.3">
      <c r="A54" s="105" t="s">
        <v>64</v>
      </c>
      <c r="B54" s="105"/>
      <c r="C54" s="105"/>
      <c r="D54" s="105"/>
      <c r="E54" s="105"/>
      <c r="F54" s="106"/>
      <c r="G54" s="108"/>
      <c r="H54" s="107"/>
      <c r="I54" s="15" t="s">
        <v>69</v>
      </c>
      <c r="J54" s="9"/>
      <c r="K54" s="5"/>
      <c r="L54" s="5"/>
      <c r="M54" s="5"/>
      <c r="N54" s="5"/>
      <c r="O54" s="5"/>
      <c r="P54" s="5"/>
      <c r="Q54" s="9"/>
      <c r="R54" s="5"/>
      <c r="S54" s="5"/>
      <c r="T54" s="5"/>
      <c r="U54" s="5"/>
      <c r="V54" s="5"/>
      <c r="W54" s="5"/>
      <c r="X54" s="5"/>
    </row>
    <row r="55" spans="1:24" ht="18.75" x14ac:dyDescent="0.3">
      <c r="A55" s="26" t="s">
        <v>577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9"/>
      <c r="R55" s="5"/>
      <c r="S55" s="5"/>
      <c r="T55" s="5"/>
      <c r="U55" s="5"/>
      <c r="V55" s="5"/>
      <c r="W55" s="5"/>
      <c r="X55" s="5"/>
    </row>
    <row r="56" spans="1:24" ht="18.75" x14ac:dyDescent="0.3">
      <c r="A56" s="26" t="s">
        <v>562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9"/>
      <c r="R56" s="5"/>
      <c r="S56" s="5"/>
      <c r="T56" s="5"/>
      <c r="U56" s="5"/>
      <c r="V56" s="5"/>
      <c r="W56" s="5"/>
      <c r="X56" s="5"/>
    </row>
    <row r="57" spans="1:24" ht="19.5" x14ac:dyDescent="0.35">
      <c r="A57" s="61" t="s">
        <v>347</v>
      </c>
      <c r="B57" s="61"/>
      <c r="C57" s="18">
        <f>F52</f>
        <v>0</v>
      </c>
      <c r="D57" s="61" t="s">
        <v>15</v>
      </c>
      <c r="E57" s="18">
        <f>F54</f>
        <v>0</v>
      </c>
      <c r="F57" s="61" t="s">
        <v>16</v>
      </c>
      <c r="G57" s="61"/>
      <c r="H57" s="123">
        <f>(80*C57*E57)/1000</f>
        <v>0</v>
      </c>
      <c r="I57" s="123"/>
      <c r="J57" s="61" t="s">
        <v>65</v>
      </c>
      <c r="K57" s="61"/>
      <c r="L57" s="5"/>
      <c r="M57" s="5"/>
      <c r="N57" s="5"/>
      <c r="O57" s="5"/>
      <c r="P57" s="5"/>
      <c r="Q57" s="9"/>
      <c r="R57" s="5"/>
      <c r="S57" s="5"/>
      <c r="T57" s="5"/>
      <c r="U57" s="5"/>
      <c r="V57" s="5"/>
      <c r="W57" s="5"/>
      <c r="X57" s="5"/>
    </row>
    <row r="58" spans="1:24" ht="18.75" x14ac:dyDescent="0.3">
      <c r="A58" s="26" t="s">
        <v>578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9"/>
      <c r="R58" s="5"/>
      <c r="S58" s="5"/>
      <c r="T58" s="5"/>
      <c r="U58" s="5"/>
      <c r="V58" s="5"/>
      <c r="W58" s="5"/>
      <c r="X58" s="5"/>
    </row>
    <row r="59" spans="1:24" ht="18.75" x14ac:dyDescent="0.3">
      <c r="A59" s="26" t="s">
        <v>563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9"/>
      <c r="R59" s="5"/>
      <c r="S59" s="5"/>
      <c r="T59" s="5"/>
      <c r="U59" s="5"/>
      <c r="V59" s="5"/>
      <c r="W59" s="5"/>
      <c r="X59" s="5"/>
    </row>
    <row r="60" spans="1:24" ht="19.5" x14ac:dyDescent="0.35">
      <c r="A60" s="61" t="s">
        <v>564</v>
      </c>
      <c r="B60" s="61"/>
      <c r="C60" s="18">
        <f>F52</f>
        <v>0</v>
      </c>
      <c r="D60" s="61" t="s">
        <v>15</v>
      </c>
      <c r="E60" s="18">
        <f>F54</f>
        <v>0</v>
      </c>
      <c r="F60" s="61" t="s">
        <v>16</v>
      </c>
      <c r="G60" s="61"/>
      <c r="H60" s="123">
        <f>(80*C60*E60)/1000</f>
        <v>0</v>
      </c>
      <c r="I60" s="123"/>
      <c r="J60" s="61" t="s">
        <v>66</v>
      </c>
      <c r="K60" s="61"/>
      <c r="L60" s="5"/>
      <c r="M60" s="5"/>
      <c r="N60" s="5"/>
      <c r="O60" s="5"/>
      <c r="P60" s="5"/>
      <c r="Q60" s="9"/>
      <c r="R60" s="5"/>
      <c r="S60" s="5"/>
      <c r="T60" s="5"/>
      <c r="U60" s="5"/>
      <c r="V60" s="5"/>
      <c r="W60" s="5"/>
      <c r="X60" s="5"/>
    </row>
    <row r="61" spans="1:24" ht="18.75" x14ac:dyDescent="0.3">
      <c r="A61" s="2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9"/>
      <c r="R61" s="5"/>
      <c r="S61" s="5"/>
      <c r="T61" s="5"/>
      <c r="U61" s="5"/>
      <c r="V61" s="5"/>
      <c r="W61" s="5"/>
      <c r="X61" s="5"/>
    </row>
    <row r="62" spans="1:24" ht="18.75" x14ac:dyDescent="0.3">
      <c r="A62" s="102" t="s">
        <v>60</v>
      </c>
      <c r="B62" s="102"/>
      <c r="C62" s="102"/>
      <c r="D62" s="102"/>
      <c r="E62" s="104">
        <f>H57+H60</f>
        <v>0</v>
      </c>
      <c r="F62" s="104"/>
      <c r="G62" s="104"/>
      <c r="H62" s="104"/>
      <c r="I62" s="103" t="s">
        <v>27</v>
      </c>
      <c r="J62" s="103"/>
      <c r="K62" s="103"/>
      <c r="L62" s="103"/>
      <c r="M62" s="5"/>
      <c r="N62" s="5"/>
      <c r="O62" s="5"/>
      <c r="P62" s="5"/>
      <c r="Q62" s="9"/>
      <c r="R62" s="5"/>
      <c r="S62" s="5"/>
      <c r="T62" s="5"/>
      <c r="U62" s="5"/>
      <c r="V62" s="5"/>
      <c r="W62" s="5"/>
      <c r="X62" s="5"/>
    </row>
    <row r="63" spans="1:24" ht="18.75" x14ac:dyDescent="0.3">
      <c r="A63" s="44"/>
      <c r="B63" s="44"/>
      <c r="C63" s="44"/>
      <c r="D63" s="44"/>
      <c r="E63" s="24"/>
      <c r="F63" s="24"/>
      <c r="G63" s="24"/>
      <c r="H63" s="24"/>
      <c r="I63" s="25"/>
      <c r="J63" s="25"/>
      <c r="K63" s="25"/>
      <c r="L63" s="25"/>
      <c r="M63" s="5"/>
      <c r="N63" s="5"/>
      <c r="O63" s="5"/>
      <c r="P63" s="5"/>
      <c r="Q63" s="9"/>
      <c r="R63" s="5"/>
      <c r="S63" s="5"/>
      <c r="T63" s="5"/>
      <c r="U63" s="5"/>
      <c r="V63" s="5"/>
      <c r="W63" s="5"/>
      <c r="X63" s="5"/>
    </row>
    <row r="64" spans="1:24" s="58" customFormat="1" ht="18.75" x14ac:dyDescent="0.3">
      <c r="A64" s="50" t="s">
        <v>565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3"/>
      <c r="R64" s="52"/>
      <c r="S64" s="52"/>
      <c r="T64" s="52"/>
      <c r="U64" s="52"/>
      <c r="V64" s="52"/>
      <c r="W64" s="52"/>
      <c r="X64" s="52"/>
    </row>
    <row r="65" spans="1:24" ht="18.75" x14ac:dyDescent="0.3">
      <c r="A65" s="105" t="s">
        <v>557</v>
      </c>
      <c r="B65" s="105"/>
      <c r="C65" s="105"/>
      <c r="D65" s="105"/>
      <c r="E65" s="105"/>
      <c r="F65" s="106"/>
      <c r="G65" s="108"/>
      <c r="H65" s="107"/>
      <c r="I65" s="30"/>
      <c r="J65" s="5"/>
      <c r="K65" s="5"/>
      <c r="L65" s="5"/>
      <c r="M65" s="5"/>
      <c r="N65" s="5"/>
      <c r="O65" s="5"/>
      <c r="P65" s="5"/>
      <c r="Q65" s="9"/>
      <c r="R65" s="5"/>
      <c r="S65" s="5"/>
      <c r="T65" s="5"/>
      <c r="U65" s="5"/>
      <c r="V65" s="5"/>
      <c r="W65" s="5"/>
      <c r="X65" s="5"/>
    </row>
    <row r="66" spans="1:24" ht="18.75" x14ac:dyDescent="0.3">
      <c r="A66" s="11"/>
      <c r="B66" s="11"/>
      <c r="C66" s="11"/>
      <c r="D66" s="11"/>
      <c r="E66" s="5"/>
      <c r="F66" s="5"/>
      <c r="G66" s="5"/>
      <c r="H66" s="5"/>
      <c r="I66" s="5"/>
      <c r="J66" s="9"/>
      <c r="K66" s="5"/>
      <c r="L66" s="5"/>
      <c r="M66" s="5"/>
      <c r="N66" s="5"/>
      <c r="O66" s="5"/>
      <c r="P66" s="5"/>
      <c r="Q66" s="9"/>
      <c r="R66" s="5"/>
      <c r="S66" s="5"/>
      <c r="T66" s="5"/>
      <c r="U66" s="5"/>
      <c r="V66" s="5"/>
      <c r="W66" s="5"/>
      <c r="X66" s="5"/>
    </row>
    <row r="67" spans="1:24" ht="18.75" x14ac:dyDescent="0.3">
      <c r="A67" s="105" t="s">
        <v>64</v>
      </c>
      <c r="B67" s="105"/>
      <c r="C67" s="105"/>
      <c r="D67" s="105"/>
      <c r="E67" s="105"/>
      <c r="F67" s="106"/>
      <c r="G67" s="108"/>
      <c r="H67" s="107"/>
      <c r="I67" s="15" t="s">
        <v>69</v>
      </c>
      <c r="J67" s="9"/>
      <c r="K67" s="5"/>
      <c r="L67" s="5"/>
      <c r="M67" s="5"/>
      <c r="N67" s="5"/>
      <c r="O67" s="5"/>
      <c r="P67" s="5"/>
      <c r="Q67" s="9"/>
      <c r="R67" s="5"/>
      <c r="S67" s="5"/>
      <c r="T67" s="5"/>
      <c r="U67" s="5"/>
      <c r="V67" s="5"/>
      <c r="W67" s="5"/>
      <c r="X67" s="5"/>
    </row>
    <row r="68" spans="1:24" ht="18.75" x14ac:dyDescent="0.3">
      <c r="A68" s="26" t="s">
        <v>579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9"/>
      <c r="R68" s="5"/>
      <c r="S68" s="5"/>
      <c r="T68" s="5"/>
      <c r="U68" s="5"/>
      <c r="V68" s="5"/>
      <c r="W68" s="5"/>
      <c r="X68" s="5"/>
    </row>
    <row r="69" spans="1:24" ht="18.75" x14ac:dyDescent="0.3">
      <c r="A69" s="26" t="s">
        <v>566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9"/>
      <c r="R69" s="5"/>
      <c r="S69" s="5"/>
      <c r="T69" s="5"/>
      <c r="U69" s="5"/>
      <c r="V69" s="5"/>
      <c r="W69" s="5"/>
      <c r="X69" s="5"/>
    </row>
    <row r="70" spans="1:24" ht="19.5" x14ac:dyDescent="0.35">
      <c r="A70" s="61" t="s">
        <v>549</v>
      </c>
      <c r="B70" s="61"/>
      <c r="C70" s="18">
        <f>F65</f>
        <v>0</v>
      </c>
      <c r="D70" s="61" t="s">
        <v>15</v>
      </c>
      <c r="E70" s="18">
        <f>F67</f>
        <v>0</v>
      </c>
      <c r="F70" s="61" t="s">
        <v>16</v>
      </c>
      <c r="G70" s="61"/>
      <c r="H70" s="123">
        <f>(230*C70*E70)/1000</f>
        <v>0</v>
      </c>
      <c r="I70" s="123"/>
      <c r="J70" s="61" t="s">
        <v>65</v>
      </c>
      <c r="K70" s="61"/>
      <c r="L70" s="5"/>
      <c r="M70" s="5"/>
      <c r="N70" s="5"/>
      <c r="O70" s="5"/>
      <c r="P70" s="5"/>
      <c r="Q70" s="9"/>
      <c r="R70" s="5"/>
      <c r="S70" s="5"/>
      <c r="T70" s="5"/>
      <c r="U70" s="5"/>
      <c r="V70" s="5"/>
      <c r="W70" s="5"/>
      <c r="X70" s="5"/>
    </row>
    <row r="71" spans="1:24" ht="18.75" x14ac:dyDescent="0.3">
      <c r="A71" s="26" t="s">
        <v>580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9"/>
      <c r="R71" s="5"/>
      <c r="S71" s="5"/>
      <c r="T71" s="5"/>
      <c r="U71" s="5"/>
      <c r="V71" s="5"/>
      <c r="W71" s="5"/>
      <c r="X71" s="5"/>
    </row>
    <row r="72" spans="1:24" ht="18.75" x14ac:dyDescent="0.3">
      <c r="A72" s="26" t="s">
        <v>567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9"/>
      <c r="R72" s="5"/>
      <c r="S72" s="5"/>
      <c r="T72" s="5"/>
      <c r="U72" s="5"/>
      <c r="V72" s="5"/>
      <c r="W72" s="5"/>
      <c r="X72" s="5"/>
    </row>
    <row r="73" spans="1:24" ht="19.5" x14ac:dyDescent="0.35">
      <c r="A73" s="61" t="s">
        <v>568</v>
      </c>
      <c r="B73" s="61"/>
      <c r="C73" s="18">
        <f>F65</f>
        <v>0</v>
      </c>
      <c r="D73" s="61" t="s">
        <v>15</v>
      </c>
      <c r="E73" s="18">
        <f>F67</f>
        <v>0</v>
      </c>
      <c r="F73" s="61" t="s">
        <v>16</v>
      </c>
      <c r="G73" s="61"/>
      <c r="H73" s="123">
        <f>(270*C73*E73)/1000</f>
        <v>0</v>
      </c>
      <c r="I73" s="123"/>
      <c r="J73" s="61" t="s">
        <v>66</v>
      </c>
      <c r="K73" s="61"/>
      <c r="L73" s="5"/>
      <c r="M73" s="5"/>
      <c r="N73" s="5"/>
      <c r="O73" s="5"/>
      <c r="P73" s="5"/>
      <c r="Q73" s="9"/>
      <c r="R73" s="5"/>
      <c r="S73" s="5"/>
      <c r="T73" s="5"/>
      <c r="U73" s="5"/>
      <c r="V73" s="5"/>
      <c r="W73" s="5"/>
      <c r="X73" s="5"/>
    </row>
    <row r="74" spans="1:24" ht="18.75" x14ac:dyDescent="0.3">
      <c r="A74" s="2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9"/>
      <c r="R74" s="5"/>
      <c r="S74" s="5"/>
      <c r="T74" s="5"/>
      <c r="U74" s="5"/>
      <c r="V74" s="5"/>
      <c r="W74" s="5"/>
      <c r="X74" s="5"/>
    </row>
    <row r="75" spans="1:24" ht="18.75" x14ac:dyDescent="0.3">
      <c r="A75" s="102" t="s">
        <v>60</v>
      </c>
      <c r="B75" s="102"/>
      <c r="C75" s="102"/>
      <c r="D75" s="102"/>
      <c r="E75" s="104">
        <f>H70+H73</f>
        <v>0</v>
      </c>
      <c r="F75" s="104"/>
      <c r="G75" s="104"/>
      <c r="H75" s="104"/>
      <c r="I75" s="103" t="s">
        <v>27</v>
      </c>
      <c r="J75" s="103"/>
      <c r="K75" s="103"/>
      <c r="L75" s="103"/>
      <c r="M75" s="5"/>
      <c r="N75" s="5"/>
      <c r="O75" s="5"/>
      <c r="P75" s="5"/>
      <c r="Q75" s="9"/>
      <c r="R75" s="5"/>
      <c r="S75" s="5"/>
      <c r="T75" s="5"/>
      <c r="U75" s="5"/>
      <c r="V75" s="5"/>
      <c r="W75" s="5"/>
      <c r="X75" s="5"/>
    </row>
    <row r="76" spans="1:24" s="58" customFormat="1" ht="18.75" x14ac:dyDescent="0.3">
      <c r="A76" s="50" t="s">
        <v>569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3"/>
      <c r="R76" s="52"/>
      <c r="S76" s="52"/>
      <c r="T76" s="52"/>
      <c r="U76" s="52"/>
      <c r="V76" s="52"/>
      <c r="W76" s="52"/>
      <c r="X76" s="52"/>
    </row>
    <row r="77" spans="1:24" ht="18.75" x14ac:dyDescent="0.3">
      <c r="A77" s="105" t="s">
        <v>557</v>
      </c>
      <c r="B77" s="105"/>
      <c r="C77" s="105"/>
      <c r="D77" s="105"/>
      <c r="E77" s="105"/>
      <c r="F77" s="106"/>
      <c r="G77" s="108"/>
      <c r="H77" s="107"/>
      <c r="I77" s="30"/>
      <c r="J77" s="5"/>
      <c r="K77" s="5"/>
      <c r="L77" s="5"/>
      <c r="M77" s="5"/>
      <c r="N77" s="5"/>
      <c r="O77" s="5"/>
      <c r="P77" s="5"/>
      <c r="Q77" s="9"/>
      <c r="R77" s="5"/>
      <c r="S77" s="5"/>
      <c r="T77" s="5"/>
      <c r="U77" s="5"/>
      <c r="V77" s="5"/>
      <c r="W77" s="5"/>
      <c r="X77" s="5"/>
    </row>
    <row r="78" spans="1:24" ht="18.75" x14ac:dyDescent="0.3">
      <c r="A78" s="11"/>
      <c r="B78" s="11"/>
      <c r="C78" s="11"/>
      <c r="D78" s="11"/>
      <c r="E78" s="5"/>
      <c r="F78" s="5"/>
      <c r="G78" s="5"/>
      <c r="H78" s="5"/>
      <c r="I78" s="5"/>
      <c r="J78" s="9"/>
      <c r="K78" s="5"/>
      <c r="L78" s="5"/>
      <c r="M78" s="5"/>
      <c r="N78" s="5"/>
      <c r="O78" s="5"/>
      <c r="P78" s="5"/>
      <c r="Q78" s="9"/>
      <c r="R78" s="5"/>
      <c r="S78" s="5"/>
      <c r="T78" s="5"/>
      <c r="U78" s="5"/>
      <c r="V78" s="5"/>
      <c r="W78" s="5"/>
      <c r="X78" s="5"/>
    </row>
    <row r="79" spans="1:24" ht="18.75" x14ac:dyDescent="0.3">
      <c r="A79" s="105" t="s">
        <v>64</v>
      </c>
      <c r="B79" s="105"/>
      <c r="C79" s="105"/>
      <c r="D79" s="105"/>
      <c r="E79" s="105"/>
      <c r="F79" s="106"/>
      <c r="G79" s="108"/>
      <c r="H79" s="107"/>
      <c r="I79" s="15" t="s">
        <v>69</v>
      </c>
      <c r="J79" s="9"/>
      <c r="K79" s="5"/>
      <c r="L79" s="5"/>
      <c r="M79" s="5"/>
      <c r="N79" s="5"/>
      <c r="O79" s="5"/>
      <c r="P79" s="5"/>
      <c r="Q79" s="9"/>
      <c r="R79" s="5"/>
      <c r="S79" s="5"/>
      <c r="T79" s="5"/>
      <c r="U79" s="5"/>
      <c r="V79" s="5"/>
      <c r="W79" s="5"/>
      <c r="X79" s="5"/>
    </row>
    <row r="80" spans="1:24" ht="18.75" x14ac:dyDescent="0.3">
      <c r="A80" s="26" t="s">
        <v>581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9"/>
      <c r="R80" s="5"/>
      <c r="S80" s="5"/>
      <c r="T80" s="5"/>
      <c r="U80" s="5"/>
      <c r="V80" s="5"/>
      <c r="W80" s="5"/>
      <c r="X80" s="5"/>
    </row>
    <row r="81" spans="1:24" ht="18.75" x14ac:dyDescent="0.3">
      <c r="A81" s="26" t="s">
        <v>570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9"/>
      <c r="R81" s="5"/>
      <c r="S81" s="5"/>
      <c r="T81" s="5"/>
      <c r="U81" s="5"/>
      <c r="V81" s="5"/>
      <c r="W81" s="5"/>
      <c r="X81" s="5"/>
    </row>
    <row r="82" spans="1:24" ht="19.5" x14ac:dyDescent="0.35">
      <c r="A82" s="61" t="s">
        <v>571</v>
      </c>
      <c r="B82" s="61"/>
      <c r="C82" s="18">
        <f>F77</f>
        <v>0</v>
      </c>
      <c r="D82" s="61" t="s">
        <v>15</v>
      </c>
      <c r="E82" s="18">
        <f>F79</f>
        <v>0</v>
      </c>
      <c r="F82" s="61" t="s">
        <v>16</v>
      </c>
      <c r="G82" s="61"/>
      <c r="H82" s="123">
        <f>(54*C82*E82)/1000</f>
        <v>0</v>
      </c>
      <c r="I82" s="123"/>
      <c r="J82" s="61" t="s">
        <v>65</v>
      </c>
      <c r="K82" s="61"/>
      <c r="L82" s="5"/>
      <c r="M82" s="5"/>
      <c r="N82" s="5"/>
      <c r="O82" s="5"/>
      <c r="P82" s="5"/>
      <c r="Q82" s="9"/>
      <c r="R82" s="5"/>
      <c r="S82" s="5"/>
      <c r="T82" s="5"/>
      <c r="U82" s="5"/>
      <c r="V82" s="5"/>
      <c r="W82" s="5"/>
      <c r="X82" s="5"/>
    </row>
    <row r="83" spans="1:24" ht="18.75" x14ac:dyDescent="0.3">
      <c r="A83" s="26" t="s">
        <v>582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9"/>
      <c r="R83" s="5"/>
      <c r="S83" s="5"/>
      <c r="T83" s="5"/>
      <c r="U83" s="5"/>
      <c r="V83" s="5"/>
      <c r="W83" s="5"/>
      <c r="X83" s="5"/>
    </row>
    <row r="84" spans="1:24" ht="18.75" x14ac:dyDescent="0.3">
      <c r="A84" s="26" t="s">
        <v>572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9"/>
      <c r="R84" s="5"/>
      <c r="S84" s="5"/>
      <c r="T84" s="5"/>
      <c r="U84" s="5"/>
      <c r="V84" s="5"/>
      <c r="W84" s="5"/>
      <c r="X84" s="5"/>
    </row>
    <row r="85" spans="1:24" ht="19.5" x14ac:dyDescent="0.35">
      <c r="A85" s="61" t="s">
        <v>573</v>
      </c>
      <c r="B85" s="61"/>
      <c r="C85" s="18">
        <f>F77</f>
        <v>0</v>
      </c>
      <c r="D85" s="61" t="s">
        <v>15</v>
      </c>
      <c r="E85" s="18">
        <f>F79</f>
        <v>0</v>
      </c>
      <c r="F85" s="61" t="s">
        <v>16</v>
      </c>
      <c r="G85" s="61"/>
      <c r="H85" s="123">
        <f>(54*C85*E85)/1000</f>
        <v>0</v>
      </c>
      <c r="I85" s="123"/>
      <c r="J85" s="61" t="s">
        <v>66</v>
      </c>
      <c r="K85" s="61"/>
      <c r="L85" s="5"/>
      <c r="M85" s="5"/>
      <c r="N85" s="5"/>
      <c r="O85" s="5"/>
      <c r="P85" s="5"/>
      <c r="Q85" s="9"/>
      <c r="R85" s="5"/>
      <c r="S85" s="5"/>
      <c r="T85" s="5"/>
      <c r="U85" s="5"/>
      <c r="V85" s="5"/>
      <c r="W85" s="5"/>
      <c r="X85" s="5"/>
    </row>
    <row r="86" spans="1:24" ht="18.75" x14ac:dyDescent="0.3">
      <c r="A86" s="2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9"/>
      <c r="R86" s="5"/>
      <c r="S86" s="5"/>
      <c r="T86" s="5"/>
      <c r="U86" s="5"/>
      <c r="V86" s="5"/>
      <c r="W86" s="5"/>
      <c r="X86" s="5"/>
    </row>
    <row r="87" spans="1:24" ht="18.75" x14ac:dyDescent="0.3">
      <c r="A87" s="102" t="s">
        <v>60</v>
      </c>
      <c r="B87" s="102"/>
      <c r="C87" s="102"/>
      <c r="D87" s="102"/>
      <c r="E87" s="104">
        <f>H82+H85</f>
        <v>0</v>
      </c>
      <c r="F87" s="104"/>
      <c r="G87" s="104"/>
      <c r="H87" s="104"/>
      <c r="I87" s="103" t="s">
        <v>27</v>
      </c>
      <c r="J87" s="103"/>
      <c r="K87" s="103"/>
      <c r="L87" s="103"/>
      <c r="M87" s="5"/>
      <c r="N87" s="5"/>
      <c r="O87" s="5"/>
      <c r="P87" s="5"/>
      <c r="Q87" s="9"/>
      <c r="R87" s="5"/>
      <c r="S87" s="5"/>
      <c r="T87" s="5"/>
      <c r="U87" s="5"/>
      <c r="V87" s="5"/>
      <c r="W87" s="5"/>
      <c r="X87" s="5"/>
    </row>
    <row r="88" spans="1:24" ht="18.75" x14ac:dyDescent="0.3">
      <c r="A88" s="44"/>
      <c r="B88" s="44"/>
      <c r="C88" s="44"/>
      <c r="D88" s="44"/>
      <c r="E88" s="24"/>
      <c r="F88" s="24"/>
      <c r="G88" s="24"/>
      <c r="H88" s="24"/>
      <c r="I88" s="25"/>
      <c r="J88" s="25"/>
      <c r="K88" s="25"/>
      <c r="L88" s="25"/>
      <c r="M88" s="5"/>
      <c r="N88" s="5"/>
      <c r="O88" s="5"/>
      <c r="P88" s="5"/>
      <c r="Q88" s="9"/>
      <c r="R88" s="5"/>
      <c r="S88" s="5"/>
      <c r="T88" s="5"/>
      <c r="U88" s="5"/>
      <c r="V88" s="5"/>
      <c r="W88" s="5"/>
      <c r="X88" s="5"/>
    </row>
    <row r="89" spans="1:24" s="58" customFormat="1" ht="18.75" x14ac:dyDescent="0.3">
      <c r="A89" s="50" t="s">
        <v>574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3"/>
      <c r="R89" s="52"/>
      <c r="S89" s="52"/>
      <c r="T89" s="52"/>
      <c r="U89" s="52"/>
      <c r="V89" s="52"/>
      <c r="W89" s="52"/>
      <c r="X89" s="52"/>
    </row>
    <row r="90" spans="1:24" ht="18.75" x14ac:dyDescent="0.3">
      <c r="A90" s="105" t="s">
        <v>557</v>
      </c>
      <c r="B90" s="105"/>
      <c r="C90" s="105"/>
      <c r="D90" s="105"/>
      <c r="E90" s="105"/>
      <c r="F90" s="106"/>
      <c r="G90" s="108"/>
      <c r="H90" s="107"/>
      <c r="I90" s="30"/>
      <c r="J90" s="5"/>
      <c r="K90" s="5"/>
      <c r="L90" s="5"/>
      <c r="M90" s="5"/>
      <c r="N90" s="5"/>
      <c r="O90" s="5"/>
      <c r="P90" s="5"/>
      <c r="Q90" s="9"/>
      <c r="R90" s="5"/>
      <c r="S90" s="5"/>
      <c r="T90" s="5"/>
      <c r="U90" s="5"/>
      <c r="V90" s="5"/>
      <c r="W90" s="5"/>
      <c r="X90" s="5"/>
    </row>
    <row r="91" spans="1:24" ht="18.75" x14ac:dyDescent="0.3">
      <c r="A91" s="11"/>
      <c r="B91" s="11"/>
      <c r="C91" s="11"/>
      <c r="D91" s="11"/>
      <c r="E91" s="5"/>
      <c r="F91" s="5"/>
      <c r="G91" s="5"/>
      <c r="H91" s="5"/>
      <c r="I91" s="5"/>
      <c r="J91" s="9"/>
      <c r="K91" s="5"/>
      <c r="L91" s="5"/>
      <c r="M91" s="5"/>
      <c r="N91" s="5"/>
      <c r="O91" s="5"/>
      <c r="P91" s="5"/>
      <c r="Q91" s="9"/>
      <c r="R91" s="5"/>
      <c r="S91" s="5"/>
      <c r="T91" s="5"/>
      <c r="U91" s="5"/>
      <c r="V91" s="5"/>
      <c r="W91" s="5"/>
      <c r="X91" s="5"/>
    </row>
    <row r="92" spans="1:24" ht="18.75" x14ac:dyDescent="0.3">
      <c r="A92" s="105" t="s">
        <v>64</v>
      </c>
      <c r="B92" s="105"/>
      <c r="C92" s="105"/>
      <c r="D92" s="105"/>
      <c r="E92" s="105"/>
      <c r="F92" s="106"/>
      <c r="G92" s="108"/>
      <c r="H92" s="107"/>
      <c r="I92" s="15" t="s">
        <v>69</v>
      </c>
      <c r="J92" s="9"/>
      <c r="K92" s="5"/>
      <c r="L92" s="5"/>
      <c r="M92" s="5"/>
      <c r="N92" s="5"/>
      <c r="O92" s="5"/>
      <c r="P92" s="5"/>
      <c r="Q92" s="9"/>
      <c r="R92" s="5"/>
      <c r="S92" s="5"/>
      <c r="T92" s="5"/>
      <c r="U92" s="5"/>
      <c r="V92" s="5"/>
      <c r="W92" s="5"/>
      <c r="X92" s="5"/>
    </row>
    <row r="93" spans="1:24" ht="18.75" x14ac:dyDescent="0.3">
      <c r="A93" s="26" t="s">
        <v>583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9"/>
      <c r="R93" s="5"/>
      <c r="S93" s="5"/>
      <c r="T93" s="5"/>
      <c r="U93" s="5"/>
      <c r="V93" s="5"/>
      <c r="W93" s="5"/>
      <c r="X93" s="5"/>
    </row>
    <row r="94" spans="1:24" ht="18.75" x14ac:dyDescent="0.3">
      <c r="A94" s="26" t="s">
        <v>584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9"/>
      <c r="R94" s="5"/>
      <c r="S94" s="5"/>
      <c r="T94" s="5"/>
      <c r="U94" s="5"/>
      <c r="V94" s="5"/>
      <c r="W94" s="5"/>
      <c r="X94" s="5"/>
    </row>
    <row r="95" spans="1:24" ht="19.5" x14ac:dyDescent="0.35">
      <c r="A95" s="61" t="s">
        <v>585</v>
      </c>
      <c r="B95" s="61"/>
      <c r="C95" s="18">
        <f>F90</f>
        <v>0</v>
      </c>
      <c r="D95" s="61" t="s">
        <v>15</v>
      </c>
      <c r="E95" s="18">
        <f>F92</f>
        <v>0</v>
      </c>
      <c r="F95" s="61" t="s">
        <v>16</v>
      </c>
      <c r="G95" s="61"/>
      <c r="H95" s="123">
        <f>(36*C95*E95)/1000</f>
        <v>0</v>
      </c>
      <c r="I95" s="123"/>
      <c r="J95" s="61" t="s">
        <v>65</v>
      </c>
      <c r="K95" s="61"/>
      <c r="L95" s="5"/>
      <c r="M95" s="5"/>
      <c r="N95" s="5"/>
      <c r="O95" s="5"/>
      <c r="P95" s="5"/>
      <c r="Q95" s="9"/>
      <c r="R95" s="5"/>
      <c r="S95" s="5"/>
      <c r="T95" s="5"/>
      <c r="U95" s="5"/>
      <c r="V95" s="5"/>
      <c r="W95" s="5"/>
      <c r="X95" s="5"/>
    </row>
    <row r="96" spans="1:24" ht="18.75" x14ac:dyDescent="0.3">
      <c r="A96" s="102" t="s">
        <v>60</v>
      </c>
      <c r="B96" s="102"/>
      <c r="C96" s="102"/>
      <c r="D96" s="102"/>
      <c r="E96" s="104">
        <f>H95</f>
        <v>0</v>
      </c>
      <c r="F96" s="104"/>
      <c r="G96" s="104"/>
      <c r="H96" s="104"/>
      <c r="I96" s="103" t="s">
        <v>27</v>
      </c>
      <c r="J96" s="103"/>
      <c r="K96" s="103"/>
      <c r="L96" s="103"/>
      <c r="M96" s="5"/>
      <c r="N96" s="5"/>
      <c r="O96" s="5"/>
      <c r="P96" s="5"/>
      <c r="Q96" s="9"/>
      <c r="R96" s="5"/>
      <c r="S96" s="5"/>
      <c r="T96" s="5"/>
      <c r="U96" s="5"/>
      <c r="V96" s="5"/>
      <c r="W96" s="5"/>
      <c r="X96" s="5"/>
    </row>
    <row r="97" spans="1:24" ht="18.75" x14ac:dyDescent="0.3">
      <c r="A97" s="26" t="s">
        <v>149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8.75" x14ac:dyDescent="0.3">
      <c r="A98" s="2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9"/>
      <c r="R98" s="5"/>
      <c r="S98" s="5"/>
      <c r="T98" s="5"/>
      <c r="U98" s="5"/>
      <c r="V98" s="5"/>
      <c r="W98" s="5"/>
      <c r="X98" s="5"/>
    </row>
    <row r="99" spans="1:24" ht="18.75" x14ac:dyDescent="0.3">
      <c r="A99" s="26" t="s">
        <v>9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9"/>
      <c r="R99" s="5"/>
      <c r="S99" s="5"/>
      <c r="T99" s="5"/>
      <c r="U99" s="5"/>
      <c r="V99" s="5"/>
      <c r="W99" s="5"/>
      <c r="X99" s="5"/>
    </row>
    <row r="100" spans="1:24" ht="18.75" x14ac:dyDescent="0.3">
      <c r="A100" s="2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9"/>
      <c r="R100" s="5"/>
      <c r="S100" s="5"/>
      <c r="T100" s="5"/>
      <c r="U100" s="5"/>
      <c r="V100" s="5"/>
      <c r="W100" s="5"/>
      <c r="X100" s="5"/>
    </row>
    <row r="101" spans="1:24" ht="18.75" x14ac:dyDescent="0.3">
      <c r="A101" s="26" t="s">
        <v>10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9"/>
      <c r="R101" s="5"/>
      <c r="S101" s="5"/>
      <c r="T101" s="5"/>
      <c r="U101" s="5"/>
      <c r="V101" s="5"/>
      <c r="W101" s="5"/>
      <c r="X101" s="5"/>
    </row>
    <row r="102" spans="1:24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9"/>
      <c r="R102" s="5"/>
      <c r="S102" s="5"/>
      <c r="T102" s="5"/>
      <c r="U102" s="5"/>
      <c r="V102" s="5"/>
      <c r="W102" s="5"/>
      <c r="X102" s="5"/>
    </row>
    <row r="103" spans="1:24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9"/>
      <c r="R103" s="5"/>
      <c r="S103" s="5"/>
      <c r="T103" s="5"/>
      <c r="U103" s="5"/>
      <c r="V103" s="5"/>
      <c r="W103" s="5"/>
      <c r="X103" s="5"/>
    </row>
  </sheetData>
  <sheetProtection sheet="1" objects="1" scenarios="1"/>
  <protectedRanges>
    <protectedRange sqref="A4 G6 J6 J8 A10 F12 F14 F26 F28 F39 F41 F52 F54 F65 F67 F77 F79 F90 F92" name="Диапазон1"/>
  </protectedRanges>
  <mergeCells count="73">
    <mergeCell ref="H57:I57"/>
    <mergeCell ref="H60:I60"/>
    <mergeCell ref="H70:I70"/>
    <mergeCell ref="H73:I73"/>
    <mergeCell ref="H82:I82"/>
    <mergeCell ref="F77:H77"/>
    <mergeCell ref="A96:D96"/>
    <mergeCell ref="E96:H96"/>
    <mergeCell ref="I96:L96"/>
    <mergeCell ref="I87:L87"/>
    <mergeCell ref="A90:E90"/>
    <mergeCell ref="F90:H90"/>
    <mergeCell ref="A92:E92"/>
    <mergeCell ref="F92:H92"/>
    <mergeCell ref="H95:I95"/>
    <mergeCell ref="A79:E79"/>
    <mergeCell ref="F79:H79"/>
    <mergeCell ref="A87:D87"/>
    <mergeCell ref="E87:H87"/>
    <mergeCell ref="A77:E77"/>
    <mergeCell ref="H85:I85"/>
    <mergeCell ref="A62:D62"/>
    <mergeCell ref="E62:H62"/>
    <mergeCell ref="I62:L62"/>
    <mergeCell ref="A65:E65"/>
    <mergeCell ref="F65:H65"/>
    <mergeCell ref="A67:E67"/>
    <mergeCell ref="F67:H67"/>
    <mergeCell ref="A75:D75"/>
    <mergeCell ref="E75:H75"/>
    <mergeCell ref="I75:L75"/>
    <mergeCell ref="A54:E54"/>
    <mergeCell ref="F54:H54"/>
    <mergeCell ref="A49:D49"/>
    <mergeCell ref="E49:H49"/>
    <mergeCell ref="I49:L49"/>
    <mergeCell ref="A52:E52"/>
    <mergeCell ref="F52:H52"/>
    <mergeCell ref="A23:D23"/>
    <mergeCell ref="E23:H23"/>
    <mergeCell ref="I23:L23"/>
    <mergeCell ref="H17:I17"/>
    <mergeCell ref="A12:E12"/>
    <mergeCell ref="F12:H12"/>
    <mergeCell ref="H47:I47"/>
    <mergeCell ref="A41:E41"/>
    <mergeCell ref="F41:H41"/>
    <mergeCell ref="H44:I44"/>
    <mergeCell ref="H20:I20"/>
    <mergeCell ref="A28:E28"/>
    <mergeCell ref="F28:H28"/>
    <mergeCell ref="A36:D36"/>
    <mergeCell ref="E36:H36"/>
    <mergeCell ref="I36:L36"/>
    <mergeCell ref="H31:I31"/>
    <mergeCell ref="H34:I34"/>
    <mergeCell ref="A39:E39"/>
    <mergeCell ref="F39:H39"/>
    <mergeCell ref="A26:E26"/>
    <mergeCell ref="F26:H26"/>
    <mergeCell ref="A14:E14"/>
    <mergeCell ref="F14:H14"/>
    <mergeCell ref="A1:P1"/>
    <mergeCell ref="A2:P2"/>
    <mergeCell ref="A3:P3"/>
    <mergeCell ref="A4:P4"/>
    <mergeCell ref="A5:P5"/>
    <mergeCell ref="C6:F6"/>
    <mergeCell ref="G6:H6"/>
    <mergeCell ref="J6:M6"/>
    <mergeCell ref="A8:I8"/>
    <mergeCell ref="J8:P8"/>
    <mergeCell ref="A10:P10"/>
  </mergeCells>
  <pageMargins left="0.7" right="0.7" top="0.75" bottom="0.75" header="0.3" footer="0.3"/>
  <pageSetup paperSize="9" scale="8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>
    <pageSetUpPr fitToPage="1"/>
  </sheetPr>
  <dimension ref="A1:Q54"/>
  <sheetViews>
    <sheetView topLeftCell="A4" workbookViewId="0">
      <selection activeCell="G14" sqref="G14:H14"/>
    </sheetView>
  </sheetViews>
  <sheetFormatPr defaultRowHeight="12.75" x14ac:dyDescent="0.2"/>
  <cols>
    <col min="1" max="1" width="5.140625" style="5" customWidth="1"/>
    <col min="2" max="2" width="7.140625" style="5" customWidth="1"/>
    <col min="3" max="3" width="6.85546875" style="5" customWidth="1"/>
    <col min="4" max="4" width="3.42578125" style="5" customWidth="1"/>
    <col min="5" max="5" width="6.28515625" style="5" customWidth="1"/>
    <col min="6" max="6" width="6.7109375" style="5" customWidth="1"/>
    <col min="7" max="7" width="6.140625" style="5" customWidth="1"/>
    <col min="8" max="8" width="13.28515625" style="5" customWidth="1"/>
    <col min="9" max="9" width="4.140625" style="5" customWidth="1"/>
    <col min="10" max="10" width="5.42578125" style="5" customWidth="1"/>
    <col min="11" max="12" width="5.140625" style="5" customWidth="1"/>
    <col min="13" max="13" width="6.5703125" style="5" customWidth="1"/>
    <col min="14" max="15" width="5.140625" style="5" customWidth="1"/>
    <col min="16" max="16" width="5.28515625" style="5" customWidth="1"/>
    <col min="17" max="22" width="5.140625" style="5" customWidth="1"/>
    <col min="23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19.5" customHeight="1" x14ac:dyDescent="0.3">
      <c r="A3" s="109" t="s">
        <v>47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17" ht="14.25" customHeight="1" x14ac:dyDescent="0.3">
      <c r="A7" s="10"/>
    </row>
    <row r="8" spans="1:17" ht="18.75" x14ac:dyDescent="0.3">
      <c r="A8" s="105" t="s">
        <v>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12"/>
      <c r="M8" s="113"/>
      <c r="N8" s="113"/>
      <c r="O8" s="113"/>
      <c r="P8" s="113"/>
      <c r="Q8" s="114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</row>
    <row r="11" spans="1:1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37"/>
      <c r="K11" s="37"/>
      <c r="L11" s="13"/>
      <c r="M11" s="13"/>
      <c r="N11" s="13"/>
      <c r="O11" s="13"/>
      <c r="P11" s="13"/>
      <c r="Q11" s="13"/>
    </row>
    <row r="12" spans="1:17" ht="18.75" x14ac:dyDescent="0.3">
      <c r="A12" s="14" t="s">
        <v>48</v>
      </c>
      <c r="B12" s="14"/>
      <c r="C12" s="14"/>
      <c r="D12" s="14"/>
      <c r="E12" s="14"/>
      <c r="F12" s="14"/>
      <c r="G12" s="106"/>
      <c r="H12" s="107"/>
      <c r="I12" s="15"/>
      <c r="J12" s="9"/>
    </row>
    <row r="13" spans="1:17" ht="7.5" customHeight="1" x14ac:dyDescent="0.3">
      <c r="A13" s="14"/>
      <c r="B13" s="14"/>
      <c r="C13" s="14"/>
      <c r="D13" s="14"/>
      <c r="E13" s="14"/>
      <c r="F13" s="14"/>
      <c r="I13" s="15"/>
      <c r="J13" s="9"/>
    </row>
    <row r="14" spans="1:17" ht="18.75" x14ac:dyDescent="0.3">
      <c r="A14" s="105" t="s">
        <v>12</v>
      </c>
      <c r="B14" s="105"/>
      <c r="C14" s="105"/>
      <c r="D14" s="105"/>
      <c r="E14" s="105"/>
      <c r="F14" s="105"/>
      <c r="G14" s="106"/>
      <c r="H14" s="107"/>
      <c r="I14" s="14" t="s">
        <v>13</v>
      </c>
      <c r="J14" s="14"/>
    </row>
    <row r="15" spans="1:17" ht="18.75" x14ac:dyDescent="0.3">
      <c r="A15" s="120" t="s">
        <v>49</v>
      </c>
      <c r="B15" s="120"/>
      <c r="C15" s="120"/>
      <c r="D15" s="120"/>
      <c r="E15" s="120"/>
      <c r="F15" s="120"/>
      <c r="G15" s="10"/>
      <c r="H15" s="10"/>
    </row>
    <row r="16" spans="1:17" s="16" customFormat="1" ht="18.75" x14ac:dyDescent="0.3">
      <c r="A16" s="105" t="s">
        <v>653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s="16" customFormat="1" ht="18.75" x14ac:dyDescent="0.3">
      <c r="A17" s="105" t="s">
        <v>182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s="19" customFormat="1" ht="19.5" x14ac:dyDescent="0.35">
      <c r="A18" s="17" t="s">
        <v>183</v>
      </c>
      <c r="B18" s="17"/>
      <c r="C18" s="18">
        <f>G12</f>
        <v>0</v>
      </c>
      <c r="D18" s="18" t="s">
        <v>15</v>
      </c>
      <c r="E18" s="18">
        <f>G14</f>
        <v>0</v>
      </c>
      <c r="F18" s="17" t="s">
        <v>16</v>
      </c>
      <c r="G18" s="17"/>
      <c r="H18" s="95">
        <f>(400*C18*E18)/1000</f>
        <v>0</v>
      </c>
      <c r="I18" s="17" t="s">
        <v>17</v>
      </c>
      <c r="J18" s="17"/>
      <c r="K18" s="21"/>
      <c r="L18" s="21"/>
      <c r="M18" s="21"/>
      <c r="N18" s="21"/>
      <c r="O18" s="21"/>
      <c r="P18" s="21"/>
      <c r="Q18" s="21"/>
    </row>
    <row r="19" spans="1:17" s="16" customFormat="1" ht="18.75" x14ac:dyDescent="0.3">
      <c r="A19" s="105" t="s">
        <v>184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  <row r="20" spans="1:17" s="16" customFormat="1" ht="18.75" x14ac:dyDescent="0.3">
      <c r="A20" s="105" t="s">
        <v>185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s="19" customFormat="1" ht="19.5" x14ac:dyDescent="0.35">
      <c r="A21" s="17" t="s">
        <v>161</v>
      </c>
      <c r="B21" s="17"/>
      <c r="C21" s="18">
        <f>G12</f>
        <v>0</v>
      </c>
      <c r="D21" s="18" t="s">
        <v>15</v>
      </c>
      <c r="E21" s="18">
        <f>G14</f>
        <v>0</v>
      </c>
      <c r="F21" s="17" t="s">
        <v>16</v>
      </c>
      <c r="G21" s="17"/>
      <c r="H21" s="95">
        <f>(60*C21*E21)/1000</f>
        <v>0</v>
      </c>
      <c r="I21" s="17" t="s">
        <v>17</v>
      </c>
      <c r="J21" s="17"/>
      <c r="K21" s="21"/>
      <c r="L21" s="21"/>
      <c r="M21" s="21"/>
      <c r="N21" s="21"/>
      <c r="O21" s="21"/>
      <c r="P21" s="21"/>
      <c r="Q21" s="21"/>
    </row>
    <row r="22" spans="1:17" s="19" customFormat="1" ht="9.75" customHeight="1" x14ac:dyDescent="0.35">
      <c r="A22" s="17"/>
      <c r="B22" s="17"/>
      <c r="C22" s="18"/>
      <c r="D22" s="18"/>
      <c r="E22" s="18"/>
      <c r="F22" s="17"/>
      <c r="G22" s="17"/>
      <c r="H22" s="20"/>
      <c r="I22" s="17"/>
      <c r="J22" s="17"/>
      <c r="K22" s="21"/>
      <c r="L22" s="21"/>
      <c r="M22" s="21"/>
      <c r="N22" s="21"/>
      <c r="O22" s="21"/>
      <c r="P22" s="21"/>
      <c r="Q22" s="21"/>
    </row>
    <row r="23" spans="1:17" ht="18.75" x14ac:dyDescent="0.3">
      <c r="A23" s="120" t="s">
        <v>51</v>
      </c>
      <c r="B23" s="120"/>
      <c r="C23" s="120"/>
      <c r="D23" s="120"/>
      <c r="E23" s="120"/>
      <c r="F23" s="120"/>
      <c r="G23" s="10"/>
      <c r="H23" s="10"/>
    </row>
    <row r="24" spans="1:17" s="16" customFormat="1" ht="18.75" x14ac:dyDescent="0.3">
      <c r="A24" s="105" t="s">
        <v>654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</row>
    <row r="25" spans="1:17" s="16" customFormat="1" ht="18.75" x14ac:dyDescent="0.3">
      <c r="A25" s="105" t="s">
        <v>186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17" s="19" customFormat="1" ht="19.5" x14ac:dyDescent="0.35">
      <c r="A26" s="17" t="s">
        <v>187</v>
      </c>
      <c r="B26" s="17"/>
      <c r="C26" s="18">
        <f>G12</f>
        <v>0</v>
      </c>
      <c r="D26" s="18" t="s">
        <v>15</v>
      </c>
      <c r="E26" s="18">
        <f>G14</f>
        <v>0</v>
      </c>
      <c r="F26" s="17" t="s">
        <v>16</v>
      </c>
      <c r="G26" s="17"/>
      <c r="H26" s="95">
        <f>(255*C26*E26)/1000</f>
        <v>0</v>
      </c>
      <c r="I26" s="17" t="s">
        <v>17</v>
      </c>
      <c r="J26" s="17"/>
      <c r="K26" s="21"/>
      <c r="L26" s="21"/>
      <c r="M26" s="21"/>
      <c r="N26" s="21"/>
      <c r="O26" s="21"/>
      <c r="P26" s="21"/>
      <c r="Q26" s="21"/>
    </row>
    <row r="27" spans="1:17" s="16" customFormat="1" ht="18.75" x14ac:dyDescent="0.3">
      <c r="A27" s="105" t="s">
        <v>199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 s="16" customFormat="1" ht="18.75" x14ac:dyDescent="0.3">
      <c r="A28" s="105" t="s">
        <v>188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17" s="19" customFormat="1" ht="19.5" x14ac:dyDescent="0.35">
      <c r="A29" s="17" t="s">
        <v>189</v>
      </c>
      <c r="B29" s="17"/>
      <c r="C29" s="18">
        <f>G12</f>
        <v>0</v>
      </c>
      <c r="D29" s="18" t="s">
        <v>15</v>
      </c>
      <c r="E29" s="18">
        <f>G14</f>
        <v>0</v>
      </c>
      <c r="F29" s="17" t="s">
        <v>16</v>
      </c>
      <c r="G29" s="17"/>
      <c r="H29" s="95">
        <f>(55*C29*E29)/1000</f>
        <v>0</v>
      </c>
      <c r="I29" s="17" t="s">
        <v>17</v>
      </c>
      <c r="J29" s="17"/>
      <c r="K29" s="21"/>
      <c r="L29" s="21"/>
      <c r="M29" s="21"/>
      <c r="N29" s="21"/>
      <c r="O29" s="21"/>
      <c r="P29" s="21"/>
      <c r="Q29" s="21"/>
    </row>
    <row r="30" spans="1:17" s="19" customFormat="1" ht="9" customHeight="1" x14ac:dyDescent="0.35">
      <c r="A30" s="17"/>
      <c r="B30" s="17"/>
      <c r="C30" s="18"/>
      <c r="D30" s="18"/>
      <c r="E30" s="18"/>
      <c r="F30" s="17"/>
      <c r="G30" s="17"/>
      <c r="H30" s="20"/>
      <c r="I30" s="17"/>
      <c r="J30" s="17"/>
      <c r="K30" s="21"/>
      <c r="L30" s="21"/>
      <c r="M30" s="21"/>
      <c r="N30" s="21"/>
      <c r="O30" s="21"/>
      <c r="P30" s="21"/>
      <c r="Q30" s="21"/>
    </row>
    <row r="31" spans="1:17" ht="18.75" x14ac:dyDescent="0.3">
      <c r="A31" s="120" t="s">
        <v>52</v>
      </c>
      <c r="B31" s="120"/>
      <c r="C31" s="120"/>
      <c r="D31" s="120"/>
      <c r="E31" s="120"/>
      <c r="F31" s="120"/>
      <c r="G31" s="10"/>
      <c r="H31" s="10"/>
    </row>
    <row r="32" spans="1:17" s="16" customFormat="1" ht="18.75" x14ac:dyDescent="0.3">
      <c r="A32" s="105" t="s">
        <v>655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</row>
    <row r="33" spans="1:17" s="16" customFormat="1" ht="18.75" x14ac:dyDescent="0.3">
      <c r="A33" s="105" t="s">
        <v>190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</row>
    <row r="34" spans="1:17" s="19" customFormat="1" ht="19.5" x14ac:dyDescent="0.35">
      <c r="A34" s="17" t="s">
        <v>174</v>
      </c>
      <c r="B34" s="17"/>
      <c r="C34" s="18">
        <f>G12</f>
        <v>0</v>
      </c>
      <c r="D34" s="18" t="s">
        <v>15</v>
      </c>
      <c r="E34" s="18">
        <f>G14</f>
        <v>0</v>
      </c>
      <c r="F34" s="17" t="s">
        <v>16</v>
      </c>
      <c r="G34" s="17"/>
      <c r="H34" s="95">
        <f>(110*C34*E34)/1000</f>
        <v>0</v>
      </c>
      <c r="I34" s="17" t="s">
        <v>17</v>
      </c>
      <c r="J34" s="17"/>
      <c r="K34" s="21"/>
      <c r="L34" s="21"/>
      <c r="M34" s="21"/>
      <c r="N34" s="21"/>
      <c r="O34" s="21"/>
      <c r="P34" s="21"/>
      <c r="Q34" s="21"/>
    </row>
    <row r="35" spans="1:17" s="16" customFormat="1" ht="18.75" x14ac:dyDescent="0.3">
      <c r="A35" s="105" t="s">
        <v>191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1:17" s="16" customFormat="1" ht="18.75" x14ac:dyDescent="0.3">
      <c r="A36" s="105" t="s">
        <v>192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1:17" s="19" customFormat="1" ht="19.5" x14ac:dyDescent="0.35">
      <c r="A37" s="17" t="s">
        <v>193</v>
      </c>
      <c r="B37" s="17"/>
      <c r="C37" s="18">
        <f>G12</f>
        <v>0</v>
      </c>
      <c r="D37" s="18" t="s">
        <v>15</v>
      </c>
      <c r="E37" s="18">
        <f>G14</f>
        <v>0</v>
      </c>
      <c r="F37" s="17" t="s">
        <v>16</v>
      </c>
      <c r="G37" s="17"/>
      <c r="H37" s="95">
        <f>(15*C37*E37)/1000</f>
        <v>0</v>
      </c>
      <c r="I37" s="17" t="s">
        <v>17</v>
      </c>
      <c r="J37" s="17"/>
      <c r="K37" s="21"/>
      <c r="L37" s="21"/>
      <c r="M37" s="21"/>
      <c r="N37" s="21"/>
      <c r="O37" s="21"/>
      <c r="P37" s="21"/>
      <c r="Q37" s="21"/>
    </row>
    <row r="38" spans="1:17" s="19" customFormat="1" ht="8.25" customHeight="1" x14ac:dyDescent="0.35">
      <c r="A38" s="17"/>
      <c r="B38" s="17"/>
      <c r="C38" s="18"/>
      <c r="D38" s="18"/>
      <c r="E38" s="18"/>
      <c r="F38" s="17"/>
      <c r="G38" s="17"/>
      <c r="H38" s="20"/>
      <c r="I38" s="17"/>
      <c r="J38" s="17"/>
      <c r="K38" s="21"/>
      <c r="L38" s="21"/>
      <c r="M38" s="21"/>
      <c r="N38" s="21"/>
      <c r="O38" s="21"/>
      <c r="P38" s="21"/>
      <c r="Q38" s="21"/>
    </row>
    <row r="39" spans="1:17" ht="18.75" x14ac:dyDescent="0.3">
      <c r="A39" s="120" t="s">
        <v>194</v>
      </c>
      <c r="B39" s="120"/>
      <c r="C39" s="120"/>
      <c r="D39" s="120"/>
      <c r="E39" s="120"/>
      <c r="F39" s="120"/>
      <c r="G39" s="10"/>
      <c r="H39" s="10"/>
    </row>
    <row r="40" spans="1:17" s="16" customFormat="1" ht="18.75" x14ac:dyDescent="0.3">
      <c r="A40" s="105" t="s">
        <v>656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</row>
    <row r="41" spans="1:17" s="16" customFormat="1" ht="18.75" x14ac:dyDescent="0.3">
      <c r="A41" s="105" t="s">
        <v>195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</row>
    <row r="42" spans="1:17" s="19" customFormat="1" ht="19.5" x14ac:dyDescent="0.35">
      <c r="A42" s="17" t="s">
        <v>84</v>
      </c>
      <c r="B42" s="17"/>
      <c r="C42" s="18">
        <f>G12</f>
        <v>0</v>
      </c>
      <c r="D42" s="18" t="s">
        <v>15</v>
      </c>
      <c r="E42" s="18">
        <f>G14</f>
        <v>0</v>
      </c>
      <c r="F42" s="17" t="s">
        <v>16</v>
      </c>
      <c r="G42" s="17"/>
      <c r="H42" s="95">
        <f>(7*C42*E42)/1000</f>
        <v>0</v>
      </c>
      <c r="I42" s="17" t="s">
        <v>17</v>
      </c>
      <c r="J42" s="17"/>
      <c r="K42" s="21"/>
      <c r="L42" s="21"/>
      <c r="M42" s="21"/>
      <c r="N42" s="21"/>
      <c r="O42" s="21"/>
      <c r="P42" s="21"/>
      <c r="Q42" s="21"/>
    </row>
    <row r="43" spans="1:17" s="16" customFormat="1" ht="18.75" x14ac:dyDescent="0.3">
      <c r="A43" s="105" t="s">
        <v>196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</row>
    <row r="44" spans="1:17" s="16" customFormat="1" ht="18.75" x14ac:dyDescent="0.3">
      <c r="A44" s="105" t="s">
        <v>197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</row>
    <row r="45" spans="1:17" s="19" customFormat="1" ht="19.5" x14ac:dyDescent="0.35">
      <c r="A45" s="17" t="s">
        <v>198</v>
      </c>
      <c r="B45" s="17"/>
      <c r="C45" s="18">
        <f>G12</f>
        <v>0</v>
      </c>
      <c r="D45" s="18" t="s">
        <v>15</v>
      </c>
      <c r="E45" s="18">
        <f>G14</f>
        <v>0</v>
      </c>
      <c r="F45" s="17" t="s">
        <v>16</v>
      </c>
      <c r="G45" s="17"/>
      <c r="H45" s="95">
        <f>(5*C45*E45)/1000</f>
        <v>0</v>
      </c>
      <c r="I45" s="17" t="s">
        <v>17</v>
      </c>
      <c r="J45" s="17"/>
      <c r="K45" s="21"/>
      <c r="L45" s="21"/>
      <c r="M45" s="21"/>
      <c r="N45" s="21"/>
      <c r="O45" s="21"/>
      <c r="P45" s="21"/>
      <c r="Q45" s="21"/>
    </row>
    <row r="46" spans="1:17" s="19" customFormat="1" ht="15.75" customHeight="1" x14ac:dyDescent="0.35">
      <c r="A46" s="17"/>
      <c r="B46" s="17"/>
      <c r="C46" s="18"/>
      <c r="D46" s="18"/>
      <c r="E46" s="18"/>
      <c r="F46" s="17"/>
      <c r="G46" s="17"/>
      <c r="H46" s="20"/>
      <c r="I46" s="17"/>
      <c r="J46" s="17"/>
      <c r="K46" s="21"/>
      <c r="L46" s="21"/>
      <c r="M46" s="21"/>
      <c r="N46" s="21"/>
      <c r="O46" s="21"/>
      <c r="P46" s="21"/>
      <c r="Q46" s="21"/>
    </row>
    <row r="47" spans="1:17" ht="18.75" x14ac:dyDescent="0.3">
      <c r="A47" s="102" t="s">
        <v>531</v>
      </c>
      <c r="B47" s="102"/>
      <c r="C47" s="102"/>
      <c r="D47" s="102"/>
      <c r="E47" s="104">
        <f>H18+H21+H26+H29+H34+H37+H42+H45</f>
        <v>0</v>
      </c>
      <c r="F47" s="104"/>
      <c r="G47" s="104"/>
      <c r="H47" s="104"/>
      <c r="I47" s="103" t="s">
        <v>27</v>
      </c>
      <c r="J47" s="103"/>
      <c r="K47" s="103"/>
      <c r="L47" s="103"/>
    </row>
    <row r="48" spans="1:17" ht="10.5" customHeight="1" x14ac:dyDescent="0.3">
      <c r="A48" s="44"/>
      <c r="B48" s="44"/>
      <c r="C48" s="44"/>
      <c r="D48" s="44"/>
      <c r="E48" s="24"/>
      <c r="F48" s="24"/>
      <c r="G48" s="24"/>
      <c r="H48" s="24"/>
      <c r="I48" s="25"/>
      <c r="J48" s="25"/>
      <c r="K48" s="25"/>
      <c r="L48" s="25"/>
    </row>
    <row r="49" spans="1:1" ht="18.75" x14ac:dyDescent="0.3">
      <c r="A49" s="26" t="s">
        <v>8</v>
      </c>
    </row>
    <row r="50" spans="1:1" ht="18.75" x14ac:dyDescent="0.3">
      <c r="A50" s="26" t="s">
        <v>149</v>
      </c>
    </row>
    <row r="51" spans="1:1" ht="12" customHeight="1" x14ac:dyDescent="0.3">
      <c r="A51" s="27"/>
    </row>
    <row r="52" spans="1:1" ht="18.75" x14ac:dyDescent="0.3">
      <c r="A52" s="26" t="s">
        <v>9</v>
      </c>
    </row>
    <row r="53" spans="1:1" ht="18.75" x14ac:dyDescent="0.3">
      <c r="A53" s="26"/>
    </row>
    <row r="54" spans="1:1" ht="18.75" x14ac:dyDescent="0.3">
      <c r="A54" s="26" t="s">
        <v>10</v>
      </c>
    </row>
  </sheetData>
  <sheetProtection password="CA9C" sheet="1" objects="1" scenarios="1"/>
  <protectedRanges>
    <protectedRange sqref="A4 G6 J6 L8 A10 G12 G14" name="Диапазон1"/>
  </protectedRanges>
  <mergeCells count="37">
    <mergeCell ref="A14:F14"/>
    <mergeCell ref="G14:H14"/>
    <mergeCell ref="A17:Q17"/>
    <mergeCell ref="A1:Q1"/>
    <mergeCell ref="A2:Q2"/>
    <mergeCell ref="A3:Q3"/>
    <mergeCell ref="C6:F6"/>
    <mergeCell ref="G6:H6"/>
    <mergeCell ref="G12:H12"/>
    <mergeCell ref="A10:Q10"/>
    <mergeCell ref="A5:Q5"/>
    <mergeCell ref="A4:Q4"/>
    <mergeCell ref="J6:M6"/>
    <mergeCell ref="L8:Q8"/>
    <mergeCell ref="A8:K8"/>
    <mergeCell ref="A16:Q16"/>
    <mergeCell ref="A15:F15"/>
    <mergeCell ref="A47:D47"/>
    <mergeCell ref="E47:H47"/>
    <mergeCell ref="I47:L47"/>
    <mergeCell ref="A31:F31"/>
    <mergeCell ref="A44:Q44"/>
    <mergeCell ref="A43:Q43"/>
    <mergeCell ref="A33:Q33"/>
    <mergeCell ref="A32:Q32"/>
    <mergeCell ref="A20:Q20"/>
    <mergeCell ref="A19:Q19"/>
    <mergeCell ref="A39:F39"/>
    <mergeCell ref="A36:Q36"/>
    <mergeCell ref="A40:Q40"/>
    <mergeCell ref="A41:Q41"/>
    <mergeCell ref="A28:Q28"/>
    <mergeCell ref="A23:F23"/>
    <mergeCell ref="A24:Q24"/>
    <mergeCell ref="A25:Q25"/>
    <mergeCell ref="A27:Q27"/>
    <mergeCell ref="A35:Q35"/>
  </mergeCells>
  <phoneticPr fontId="0" type="noConversion"/>
  <pageMargins left="0.78740157480314965" right="0.39370078740157483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>
    <pageSetUpPr fitToPage="1"/>
  </sheetPr>
  <dimension ref="A1:Y120"/>
  <sheetViews>
    <sheetView workbookViewId="0">
      <selection activeCell="F26" sqref="F26:H26"/>
    </sheetView>
  </sheetViews>
  <sheetFormatPr defaultRowHeight="12.75" x14ac:dyDescent="0.2"/>
  <cols>
    <col min="1" max="1" width="5.140625" style="5" customWidth="1"/>
    <col min="2" max="2" width="7.42578125" style="5" customWidth="1"/>
    <col min="3" max="3" width="6.85546875" style="5" customWidth="1"/>
    <col min="4" max="4" width="2.85546875" style="5" customWidth="1"/>
    <col min="5" max="5" width="5.85546875" style="5" bestFit="1" customWidth="1"/>
    <col min="6" max="6" width="8.7109375" style="5" customWidth="1"/>
    <col min="7" max="7" width="3.28515625" style="5" bestFit="1" customWidth="1"/>
    <col min="8" max="8" width="9.140625" style="5" customWidth="1"/>
    <col min="9" max="9" width="10.140625" style="5" customWidth="1"/>
    <col min="10" max="10" width="5.42578125" style="5" customWidth="1"/>
    <col min="11" max="11" width="5.140625" style="5" customWidth="1"/>
    <col min="12" max="12" width="4.7109375" style="5" customWidth="1"/>
    <col min="13" max="13" width="5.28515625" style="5" customWidth="1"/>
    <col min="14" max="14" width="4.140625" style="5" customWidth="1"/>
    <col min="15" max="16" width="4.7109375" style="5" customWidth="1"/>
    <col min="17" max="17" width="12.85546875" style="5" customWidth="1"/>
    <col min="18" max="22" width="5.140625" style="5" customWidth="1"/>
    <col min="23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5" ht="18.75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S2" s="126" t="s">
        <v>147</v>
      </c>
      <c r="T2" s="126"/>
      <c r="U2" s="126"/>
      <c r="V2" s="126"/>
      <c r="W2" s="126"/>
      <c r="X2" s="126"/>
      <c r="Y2" s="126"/>
    </row>
    <row r="3" spans="1:25" ht="37.5" customHeight="1" thickBot="1" x14ac:dyDescent="0.35">
      <c r="A3" s="124" t="s">
        <v>461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S3" s="126"/>
      <c r="T3" s="126"/>
      <c r="U3" s="126"/>
      <c r="V3" s="126"/>
      <c r="W3" s="126"/>
      <c r="X3" s="126"/>
      <c r="Y3" s="126"/>
    </row>
    <row r="4" spans="1:25" ht="19.5" thickTop="1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  <c r="S4" s="127" t="s">
        <v>148</v>
      </c>
      <c r="T4" s="128"/>
      <c r="U4" s="128"/>
      <c r="V4" s="128"/>
      <c r="W4" s="128"/>
      <c r="X4" s="128"/>
      <c r="Y4" s="129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S5" s="130"/>
      <c r="T5" s="131"/>
      <c r="U5" s="131"/>
      <c r="V5" s="131"/>
      <c r="W5" s="131"/>
      <c r="X5" s="131"/>
      <c r="Y5" s="132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  <c r="S6" s="130"/>
      <c r="T6" s="131"/>
      <c r="U6" s="131"/>
      <c r="V6" s="131"/>
      <c r="W6" s="131"/>
      <c r="X6" s="131"/>
      <c r="Y6" s="132"/>
    </row>
    <row r="7" spans="1:25" ht="14.25" customHeight="1" x14ac:dyDescent="0.3">
      <c r="A7" s="10"/>
      <c r="S7" s="130"/>
      <c r="T7" s="131"/>
      <c r="U7" s="131"/>
      <c r="V7" s="131"/>
      <c r="W7" s="131"/>
      <c r="X7" s="131"/>
      <c r="Y7" s="132"/>
    </row>
    <row r="8" spans="1:25" ht="18.75" x14ac:dyDescent="0.3">
      <c r="A8" s="14" t="s">
        <v>54</v>
      </c>
      <c r="B8" s="14"/>
      <c r="C8" s="14"/>
      <c r="D8" s="14"/>
      <c r="E8" s="14"/>
      <c r="F8" s="14"/>
      <c r="G8" s="106"/>
      <c r="H8" s="108"/>
      <c r="I8" s="108"/>
      <c r="J8" s="108"/>
      <c r="K8" s="108"/>
      <c r="L8" s="108"/>
      <c r="M8" s="108"/>
      <c r="N8" s="108"/>
      <c r="O8" s="108"/>
      <c r="P8" s="108"/>
      <c r="Q8" s="107"/>
      <c r="S8" s="130"/>
      <c r="T8" s="131"/>
      <c r="U8" s="131"/>
      <c r="V8" s="131"/>
      <c r="W8" s="131"/>
      <c r="X8" s="131"/>
      <c r="Y8" s="132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S9" s="40"/>
      <c r="T9" s="39"/>
      <c r="U9" s="39"/>
      <c r="V9" s="39"/>
      <c r="W9" s="39"/>
      <c r="X9" s="39"/>
      <c r="Y9" s="41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  <c r="S10" s="42"/>
      <c r="T10" s="9"/>
      <c r="U10" s="106"/>
      <c r="V10" s="108"/>
      <c r="W10" s="108"/>
      <c r="X10" s="107"/>
      <c r="Y10" s="43"/>
    </row>
    <row r="11" spans="1:25" s="52" customFormat="1" ht="17.45" customHeight="1" x14ac:dyDescent="0.2">
      <c r="A11" s="121" t="s">
        <v>460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25" s="52" customFormat="1" ht="21.6" customHeight="1" x14ac:dyDescent="0.2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</row>
    <row r="13" spans="1:25" ht="18.75" x14ac:dyDescent="0.3">
      <c r="A13" s="105" t="s">
        <v>55</v>
      </c>
      <c r="B13" s="105"/>
      <c r="C13" s="105"/>
      <c r="D13" s="105"/>
      <c r="E13" s="105"/>
      <c r="F13" s="106"/>
      <c r="G13" s="108"/>
      <c r="H13" s="107"/>
      <c r="I13" s="15"/>
      <c r="J13" s="9"/>
    </row>
    <row r="14" spans="1:25" s="16" customFormat="1" ht="18.75" x14ac:dyDescent="0.3">
      <c r="A14" s="105" t="s">
        <v>200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25" s="16" customFormat="1" ht="38.25" customHeight="1" x14ac:dyDescent="0.3">
      <c r="A15" s="117" t="s">
        <v>201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25" s="19" customFormat="1" ht="19.5" x14ac:dyDescent="0.35">
      <c r="A16" s="17" t="s">
        <v>202</v>
      </c>
      <c r="B16" s="17"/>
      <c r="C16" s="18">
        <f>F13</f>
        <v>0</v>
      </c>
      <c r="D16" s="17" t="s">
        <v>15</v>
      </c>
      <c r="E16" s="18">
        <v>30</v>
      </c>
      <c r="F16" s="17" t="s">
        <v>15</v>
      </c>
      <c r="G16" s="17">
        <v>3</v>
      </c>
      <c r="H16" s="17" t="s">
        <v>16</v>
      </c>
      <c r="I16" s="123">
        <f>(270*C16*E16*G16)/1000</f>
        <v>0</v>
      </c>
      <c r="J16" s="123"/>
      <c r="K16" s="17" t="s">
        <v>50</v>
      </c>
      <c r="L16" s="17"/>
      <c r="P16" s="21"/>
      <c r="Q16" s="21"/>
    </row>
    <row r="17" spans="1:17" s="16" customFormat="1" ht="18.75" x14ac:dyDescent="0.3">
      <c r="A17" s="105" t="s">
        <v>56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s="16" customFormat="1" ht="38.25" customHeight="1" x14ac:dyDescent="0.3">
      <c r="A18" s="117" t="s">
        <v>58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</row>
    <row r="19" spans="1:17" s="19" customFormat="1" ht="19.5" x14ac:dyDescent="0.35">
      <c r="A19" s="17" t="s">
        <v>57</v>
      </c>
      <c r="B19" s="17"/>
      <c r="C19" s="18">
        <f>F13</f>
        <v>0</v>
      </c>
      <c r="D19" s="17" t="s">
        <v>15</v>
      </c>
      <c r="E19" s="18">
        <v>30</v>
      </c>
      <c r="F19" s="17" t="s">
        <v>15</v>
      </c>
      <c r="G19" s="17">
        <v>3</v>
      </c>
      <c r="H19" s="17" t="s">
        <v>16</v>
      </c>
      <c r="I19" s="123">
        <f>(130*F13*E19*G19)/1000</f>
        <v>0</v>
      </c>
      <c r="J19" s="123"/>
      <c r="K19" s="17" t="s">
        <v>59</v>
      </c>
      <c r="L19" s="17"/>
      <c r="P19" s="21"/>
      <c r="Q19" s="21"/>
    </row>
    <row r="20" spans="1:17" s="16" customFormat="1" x14ac:dyDescent="0.2"/>
    <row r="21" spans="1:17" ht="18.75" x14ac:dyDescent="0.3">
      <c r="A21" s="102" t="s">
        <v>60</v>
      </c>
      <c r="B21" s="102"/>
      <c r="C21" s="102"/>
      <c r="D21" s="102"/>
      <c r="E21" s="104">
        <f>I16+I19</f>
        <v>0</v>
      </c>
      <c r="F21" s="104"/>
      <c r="G21" s="104"/>
      <c r="H21" s="104"/>
      <c r="I21" s="103" t="s">
        <v>27</v>
      </c>
      <c r="J21" s="103"/>
      <c r="K21" s="103"/>
      <c r="L21" s="103"/>
    </row>
    <row r="22" spans="1:17" ht="18.75" x14ac:dyDescent="0.3">
      <c r="A22" s="44"/>
      <c r="B22" s="44"/>
      <c r="C22" s="44"/>
      <c r="D22" s="44"/>
      <c r="E22" s="24"/>
      <c r="F22" s="24"/>
      <c r="G22" s="24"/>
      <c r="H22" s="24"/>
      <c r="I22" s="25"/>
      <c r="J22" s="25"/>
      <c r="K22" s="25"/>
      <c r="L22" s="25"/>
    </row>
    <row r="23" spans="1:17" ht="18.75" x14ac:dyDescent="0.3">
      <c r="A23" s="44"/>
      <c r="B23" s="44"/>
      <c r="C23" s="44"/>
      <c r="D23" s="44"/>
      <c r="E23" s="24"/>
      <c r="F23" s="24"/>
      <c r="G23" s="24"/>
      <c r="H23" s="24"/>
      <c r="I23" s="25"/>
      <c r="J23" s="25"/>
      <c r="K23" s="25"/>
      <c r="L23" s="25"/>
    </row>
    <row r="24" spans="1:17" s="62" customFormat="1" ht="17.45" customHeight="1" x14ac:dyDescent="0.2">
      <c r="A24" s="121" t="s">
        <v>459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s="62" customFormat="1" ht="19.149999999999999" customHeight="1" x14ac:dyDescent="0.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7" ht="18.75" x14ac:dyDescent="0.3">
      <c r="A26" s="105" t="s">
        <v>55</v>
      </c>
      <c r="B26" s="105"/>
      <c r="C26" s="105"/>
      <c r="D26" s="105"/>
      <c r="E26" s="105"/>
      <c r="F26" s="106"/>
      <c r="G26" s="108"/>
      <c r="H26" s="107"/>
      <c r="I26" s="15"/>
      <c r="J26" s="9"/>
    </row>
    <row r="27" spans="1:17" s="16" customFormat="1" ht="18.75" x14ac:dyDescent="0.3">
      <c r="A27" s="105" t="s">
        <v>144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 s="16" customFormat="1" ht="38.25" customHeight="1" x14ac:dyDescent="0.3">
      <c r="A28" s="117" t="s">
        <v>145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r="29" spans="1:17" s="19" customFormat="1" ht="19.5" x14ac:dyDescent="0.35">
      <c r="A29" s="17" t="s">
        <v>146</v>
      </c>
      <c r="B29" s="17"/>
      <c r="C29" s="18">
        <f>F26</f>
        <v>0</v>
      </c>
      <c r="D29" s="17" t="s">
        <v>15</v>
      </c>
      <c r="E29" s="18">
        <v>30</v>
      </c>
      <c r="F29" s="17" t="s">
        <v>15</v>
      </c>
      <c r="G29" s="17">
        <v>3</v>
      </c>
      <c r="H29" s="17" t="s">
        <v>16</v>
      </c>
      <c r="I29" s="123">
        <f>(250*C29*E29*G29)/1000</f>
        <v>0</v>
      </c>
      <c r="J29" s="123"/>
      <c r="K29" s="17" t="s">
        <v>50</v>
      </c>
      <c r="L29" s="17"/>
      <c r="P29" s="21"/>
      <c r="Q29" s="21"/>
    </row>
    <row r="30" spans="1:17" s="16" customFormat="1" x14ac:dyDescent="0.2"/>
    <row r="32" spans="1:17" ht="18.75" x14ac:dyDescent="0.3">
      <c r="A32" s="102" t="s">
        <v>60</v>
      </c>
      <c r="B32" s="102"/>
      <c r="C32" s="102"/>
      <c r="D32" s="102"/>
      <c r="E32" s="104">
        <f>I29</f>
        <v>0</v>
      </c>
      <c r="F32" s="104"/>
      <c r="G32" s="104"/>
      <c r="H32" s="104"/>
      <c r="I32" s="103" t="s">
        <v>27</v>
      </c>
      <c r="J32" s="103"/>
      <c r="K32" s="103"/>
      <c r="L32" s="103"/>
    </row>
    <row r="33" spans="1:17" ht="18.75" x14ac:dyDescent="0.3">
      <c r="A33" s="44"/>
      <c r="B33" s="44"/>
      <c r="C33" s="44"/>
      <c r="D33" s="44"/>
      <c r="E33" s="24"/>
      <c r="F33" s="24"/>
      <c r="G33" s="24"/>
      <c r="H33" s="24"/>
      <c r="I33" s="25"/>
      <c r="J33" s="25"/>
      <c r="K33" s="25"/>
      <c r="L33" s="25"/>
    </row>
    <row r="34" spans="1:17" ht="18.75" x14ac:dyDescent="0.3">
      <c r="A34" s="44"/>
      <c r="B34" s="44"/>
      <c r="C34" s="44"/>
      <c r="D34" s="44"/>
      <c r="E34" s="24"/>
      <c r="F34" s="24"/>
      <c r="G34" s="24"/>
      <c r="H34" s="24"/>
      <c r="I34" s="25"/>
      <c r="J34" s="25"/>
      <c r="K34" s="25"/>
      <c r="L34" s="25"/>
    </row>
    <row r="35" spans="1:17" s="52" customFormat="1" ht="18.75" x14ac:dyDescent="0.3">
      <c r="A35" s="50" t="s">
        <v>462</v>
      </c>
    </row>
    <row r="36" spans="1:17" ht="18.75" x14ac:dyDescent="0.3">
      <c r="A36" s="105" t="s">
        <v>55</v>
      </c>
      <c r="B36" s="105"/>
      <c r="C36" s="105"/>
      <c r="D36" s="105"/>
      <c r="E36" s="105"/>
      <c r="F36" s="106"/>
      <c r="G36" s="108"/>
      <c r="H36" s="107"/>
      <c r="I36" s="15"/>
      <c r="J36" s="9"/>
    </row>
    <row r="37" spans="1:17" s="16" customFormat="1" ht="18.75" x14ac:dyDescent="0.3">
      <c r="A37" s="105" t="s">
        <v>463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</row>
    <row r="38" spans="1:17" s="16" customFormat="1" ht="38.25" customHeight="1" x14ac:dyDescent="0.3">
      <c r="A38" s="117" t="s">
        <v>464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</row>
    <row r="39" spans="1:17" s="19" customFormat="1" ht="19.5" x14ac:dyDescent="0.35">
      <c r="A39" s="17" t="s">
        <v>410</v>
      </c>
      <c r="B39" s="17"/>
      <c r="C39" s="17">
        <f>F36</f>
        <v>0</v>
      </c>
      <c r="D39" s="17" t="s">
        <v>15</v>
      </c>
      <c r="E39" s="18">
        <v>30</v>
      </c>
      <c r="F39" s="17" t="s">
        <v>15</v>
      </c>
      <c r="G39" s="17">
        <v>3</v>
      </c>
      <c r="H39" s="17" t="s">
        <v>16</v>
      </c>
      <c r="I39" s="123">
        <f>(180*C39*E39*G39)/1000</f>
        <v>0</v>
      </c>
      <c r="J39" s="123"/>
      <c r="K39" s="17" t="s">
        <v>50</v>
      </c>
      <c r="L39" s="17"/>
      <c r="P39" s="21"/>
      <c r="Q39" s="21"/>
    </row>
    <row r="40" spans="1:17" ht="18.75" x14ac:dyDescent="0.3">
      <c r="A40" s="102" t="s">
        <v>60</v>
      </c>
      <c r="B40" s="102"/>
      <c r="C40" s="102"/>
      <c r="D40" s="102"/>
      <c r="E40" s="104">
        <f>I39</f>
        <v>0</v>
      </c>
      <c r="F40" s="104"/>
      <c r="G40" s="104"/>
      <c r="H40" s="104"/>
      <c r="I40" s="103" t="s">
        <v>27</v>
      </c>
      <c r="J40" s="103"/>
      <c r="K40" s="103"/>
      <c r="L40" s="103"/>
    </row>
    <row r="41" spans="1:17" ht="18.75" x14ac:dyDescent="0.3">
      <c r="A41" s="44"/>
      <c r="B41" s="44"/>
      <c r="C41" s="44"/>
      <c r="D41" s="44"/>
      <c r="E41" s="24"/>
      <c r="F41" s="24"/>
      <c r="G41" s="24"/>
      <c r="H41" s="24"/>
      <c r="I41" s="25"/>
      <c r="J41" s="25"/>
      <c r="K41" s="25"/>
      <c r="L41" s="25"/>
    </row>
    <row r="42" spans="1:17" s="52" customFormat="1" ht="18.75" x14ac:dyDescent="0.3">
      <c r="A42" s="50" t="s">
        <v>465</v>
      </c>
    </row>
    <row r="43" spans="1:17" ht="18.75" x14ac:dyDescent="0.3">
      <c r="A43" s="105" t="s">
        <v>55</v>
      </c>
      <c r="B43" s="105"/>
      <c r="C43" s="105"/>
      <c r="D43" s="105"/>
      <c r="E43" s="105"/>
      <c r="F43" s="106"/>
      <c r="G43" s="108"/>
      <c r="H43" s="107"/>
      <c r="I43" s="15"/>
      <c r="J43" s="9"/>
    </row>
    <row r="44" spans="1:17" s="16" customFormat="1" ht="18.75" x14ac:dyDescent="0.3">
      <c r="A44" s="105" t="s">
        <v>466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</row>
    <row r="45" spans="1:17" s="16" customFormat="1" ht="38.25" customHeight="1" x14ac:dyDescent="0.3">
      <c r="A45" s="117" t="s">
        <v>467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</row>
    <row r="46" spans="1:17" s="19" customFormat="1" ht="19.5" x14ac:dyDescent="0.35">
      <c r="A46" s="17" t="s">
        <v>46</v>
      </c>
      <c r="B46" s="17"/>
      <c r="C46" s="17">
        <f>F43</f>
        <v>0</v>
      </c>
      <c r="D46" s="17" t="s">
        <v>15</v>
      </c>
      <c r="E46" s="18">
        <v>30</v>
      </c>
      <c r="F46" s="17" t="s">
        <v>15</v>
      </c>
      <c r="G46" s="17">
        <v>3</v>
      </c>
      <c r="H46" s="17" t="s">
        <v>16</v>
      </c>
      <c r="I46" s="123">
        <f>(100*C46*E46*G46)/1000</f>
        <v>0</v>
      </c>
      <c r="J46" s="123"/>
      <c r="K46" s="17" t="s">
        <v>50</v>
      </c>
      <c r="L46" s="17"/>
      <c r="P46" s="21"/>
      <c r="Q46" s="21"/>
    </row>
    <row r="47" spans="1:17" ht="18.75" x14ac:dyDescent="0.3">
      <c r="A47" s="102" t="s">
        <v>60</v>
      </c>
      <c r="B47" s="102"/>
      <c r="C47" s="102"/>
      <c r="D47" s="102"/>
      <c r="E47" s="104">
        <f>I46</f>
        <v>0</v>
      </c>
      <c r="F47" s="104"/>
      <c r="G47" s="104"/>
      <c r="H47" s="104"/>
      <c r="I47" s="103" t="s">
        <v>27</v>
      </c>
      <c r="J47" s="103"/>
      <c r="K47" s="103"/>
      <c r="L47" s="103"/>
    </row>
    <row r="48" spans="1:17" ht="18.75" x14ac:dyDescent="0.3">
      <c r="A48" s="44"/>
      <c r="B48" s="44"/>
      <c r="C48" s="44"/>
      <c r="D48" s="44"/>
      <c r="E48" s="24"/>
      <c r="F48" s="24"/>
      <c r="G48" s="24"/>
      <c r="H48" s="24"/>
      <c r="I48" s="25"/>
      <c r="J48" s="25"/>
      <c r="K48" s="25"/>
      <c r="L48" s="25"/>
    </row>
    <row r="49" spans="1:17" s="52" customFormat="1" ht="18.75" x14ac:dyDescent="0.3">
      <c r="A49" s="50" t="s">
        <v>470</v>
      </c>
    </row>
    <row r="50" spans="1:17" ht="18.75" x14ac:dyDescent="0.3">
      <c r="A50" s="105" t="s">
        <v>55</v>
      </c>
      <c r="B50" s="105"/>
      <c r="C50" s="105"/>
      <c r="D50" s="105"/>
      <c r="E50" s="105"/>
      <c r="F50" s="106"/>
      <c r="G50" s="108"/>
      <c r="H50" s="107"/>
      <c r="I50" s="15"/>
      <c r="J50" s="9"/>
    </row>
    <row r="51" spans="1:17" s="16" customFormat="1" ht="18.75" x14ac:dyDescent="0.3">
      <c r="A51" s="105" t="s">
        <v>468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</row>
    <row r="52" spans="1:17" s="16" customFormat="1" ht="38.25" customHeight="1" x14ac:dyDescent="0.3">
      <c r="A52" s="117" t="s">
        <v>469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r="53" spans="1:17" s="19" customFormat="1" ht="19.5" x14ac:dyDescent="0.35">
      <c r="A53" s="17" t="s">
        <v>119</v>
      </c>
      <c r="B53" s="17"/>
      <c r="C53" s="17">
        <f>F50</f>
        <v>0</v>
      </c>
      <c r="D53" s="17" t="s">
        <v>15</v>
      </c>
      <c r="E53" s="18">
        <v>30</v>
      </c>
      <c r="F53" s="17" t="s">
        <v>15</v>
      </c>
      <c r="G53" s="17">
        <v>3</v>
      </c>
      <c r="H53" s="17" t="s">
        <v>16</v>
      </c>
      <c r="I53" s="123">
        <f>(45*C53*E53*G53)/1000</f>
        <v>0</v>
      </c>
      <c r="J53" s="123"/>
      <c r="K53" s="17" t="s">
        <v>50</v>
      </c>
      <c r="L53" s="17"/>
      <c r="P53" s="21"/>
      <c r="Q53" s="21"/>
    </row>
    <row r="54" spans="1:17" ht="18.75" x14ac:dyDescent="0.3">
      <c r="A54" s="102" t="s">
        <v>60</v>
      </c>
      <c r="B54" s="102"/>
      <c r="C54" s="102"/>
      <c r="D54" s="102"/>
      <c r="E54" s="104">
        <f>I53</f>
        <v>0</v>
      </c>
      <c r="F54" s="104"/>
      <c r="G54" s="104"/>
      <c r="H54" s="104"/>
      <c r="I54" s="103" t="s">
        <v>27</v>
      </c>
      <c r="J54" s="103"/>
      <c r="K54" s="103"/>
      <c r="L54" s="103"/>
    </row>
    <row r="55" spans="1:17" ht="18.75" x14ac:dyDescent="0.3">
      <c r="A55" s="44"/>
      <c r="B55" s="44"/>
      <c r="C55" s="44"/>
      <c r="D55" s="44"/>
      <c r="E55" s="24"/>
      <c r="F55" s="24"/>
      <c r="G55" s="24"/>
      <c r="H55" s="24"/>
      <c r="I55" s="25"/>
      <c r="J55" s="25"/>
      <c r="K55" s="25"/>
      <c r="L55" s="25"/>
    </row>
    <row r="56" spans="1:17" ht="5.25" customHeight="1" x14ac:dyDescent="0.3">
      <c r="A56" s="26"/>
    </row>
    <row r="57" spans="1:17" s="19" customFormat="1" ht="18.75" x14ac:dyDescent="0.3">
      <c r="A57" s="119" t="s">
        <v>203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</row>
    <row r="58" spans="1:17" s="16" customFormat="1" ht="18.75" x14ac:dyDescent="0.3">
      <c r="A58" s="134" t="s">
        <v>204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</row>
    <row r="59" spans="1:17" s="16" customForma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 ht="18.75" x14ac:dyDescent="0.3">
      <c r="A60" s="105" t="s">
        <v>61</v>
      </c>
      <c r="B60" s="105"/>
      <c r="C60" s="105"/>
      <c r="D60" s="105"/>
      <c r="E60" s="105"/>
      <c r="F60" s="106"/>
      <c r="G60" s="108"/>
      <c r="H60" s="107"/>
      <c r="I60" s="15" t="s">
        <v>205</v>
      </c>
      <c r="J60" s="9"/>
    </row>
    <row r="61" spans="1:17" ht="22.5" x14ac:dyDescent="0.3">
      <c r="A61" s="105" t="s">
        <v>206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</row>
    <row r="62" spans="1:17" ht="18.75" customHeight="1" x14ac:dyDescent="0.3">
      <c r="A62" s="117" t="s">
        <v>207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</row>
    <row r="63" spans="1:17" s="19" customFormat="1" ht="19.5" x14ac:dyDescent="0.35">
      <c r="A63" s="17" t="s">
        <v>589</v>
      </c>
      <c r="B63" s="17"/>
      <c r="C63" s="17">
        <f>F60</f>
        <v>0</v>
      </c>
      <c r="D63" s="70" t="s">
        <v>591</v>
      </c>
      <c r="E63" s="70"/>
      <c r="F63" s="71" t="s">
        <v>590</v>
      </c>
      <c r="G63" s="125">
        <f>(0.43*C63)/1000</f>
        <v>0</v>
      </c>
      <c r="H63" s="125"/>
      <c r="I63" s="17" t="s">
        <v>17</v>
      </c>
      <c r="K63" s="21"/>
      <c r="L63" s="21"/>
      <c r="M63" s="21"/>
      <c r="N63" s="21"/>
      <c r="O63" s="21"/>
      <c r="P63" s="21"/>
      <c r="Q63" s="21"/>
    </row>
    <row r="64" spans="1:17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 ht="18.75" x14ac:dyDescent="0.3">
      <c r="A65" s="102" t="s">
        <v>60</v>
      </c>
      <c r="B65" s="102"/>
      <c r="C65" s="102"/>
      <c r="D65" s="102"/>
      <c r="E65" s="104">
        <f>G63</f>
        <v>0</v>
      </c>
      <c r="F65" s="104"/>
      <c r="G65" s="104"/>
      <c r="H65" s="104"/>
      <c r="I65" s="103" t="s">
        <v>27</v>
      </c>
      <c r="J65" s="103"/>
      <c r="K65" s="103"/>
      <c r="L65" s="103"/>
    </row>
    <row r="66" spans="1:17" ht="18.75" x14ac:dyDescent="0.3">
      <c r="A66" s="44"/>
      <c r="B66" s="44"/>
      <c r="C66" s="44"/>
      <c r="D66" s="44"/>
      <c r="E66" s="24"/>
      <c r="F66" s="24"/>
      <c r="G66" s="24"/>
      <c r="H66" s="24"/>
      <c r="I66" s="25"/>
      <c r="J66" s="25"/>
      <c r="K66" s="25"/>
      <c r="L66" s="25"/>
    </row>
    <row r="67" spans="1:17" s="19" customFormat="1" ht="18.75" x14ac:dyDescent="0.3">
      <c r="A67" s="119" t="s">
        <v>211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</row>
    <row r="68" spans="1:17" s="16" customFormat="1" ht="18.75" x14ac:dyDescent="0.3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</row>
    <row r="69" spans="1:17" s="16" customForma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 ht="18.75" x14ac:dyDescent="0.3">
      <c r="A70" s="105" t="s">
        <v>61</v>
      </c>
      <c r="B70" s="105"/>
      <c r="C70" s="105"/>
      <c r="D70" s="105"/>
      <c r="E70" s="105"/>
      <c r="F70" s="106"/>
      <c r="G70" s="108"/>
      <c r="H70" s="107"/>
      <c r="I70" s="15" t="s">
        <v>208</v>
      </c>
      <c r="J70" s="9"/>
    </row>
    <row r="71" spans="1:17" ht="22.5" x14ac:dyDescent="0.3">
      <c r="A71" s="105" t="s">
        <v>209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</row>
    <row r="72" spans="1:17" ht="18.75" customHeight="1" x14ac:dyDescent="0.3">
      <c r="A72" s="117" t="s">
        <v>210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</row>
    <row r="73" spans="1:17" s="19" customFormat="1" ht="19.5" x14ac:dyDescent="0.35">
      <c r="A73" s="17" t="s">
        <v>593</v>
      </c>
      <c r="B73" s="17" t="s">
        <v>594</v>
      </c>
      <c r="C73" s="17">
        <f>F70</f>
        <v>0</v>
      </c>
      <c r="D73" s="70" t="s">
        <v>16</v>
      </c>
      <c r="E73" s="70"/>
      <c r="F73" s="71"/>
      <c r="G73" s="125">
        <f>(3*C73)/1000</f>
        <v>0</v>
      </c>
      <c r="H73" s="125"/>
      <c r="I73" s="17" t="s">
        <v>17</v>
      </c>
      <c r="K73" s="21"/>
      <c r="L73" s="21"/>
      <c r="M73" s="21"/>
      <c r="N73" s="21"/>
      <c r="O73" s="21"/>
      <c r="P73" s="21"/>
      <c r="Q73" s="21"/>
    </row>
    <row r="74" spans="1:17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 ht="18.75" x14ac:dyDescent="0.3">
      <c r="A75" s="102" t="s">
        <v>60</v>
      </c>
      <c r="B75" s="102"/>
      <c r="C75" s="102"/>
      <c r="D75" s="102"/>
      <c r="E75" s="104">
        <f>G73</f>
        <v>0</v>
      </c>
      <c r="F75" s="104"/>
      <c r="G75" s="104"/>
      <c r="H75" s="104"/>
      <c r="I75" s="103" t="s">
        <v>27</v>
      </c>
      <c r="J75" s="103"/>
      <c r="K75" s="103"/>
      <c r="L75" s="103"/>
    </row>
    <row r="76" spans="1:17" ht="18.75" x14ac:dyDescent="0.3">
      <c r="A76" s="44"/>
      <c r="B76" s="44"/>
      <c r="C76" s="44"/>
      <c r="D76" s="44"/>
      <c r="E76" s="24"/>
      <c r="F76" s="24"/>
      <c r="G76" s="24"/>
      <c r="H76" s="24"/>
      <c r="I76" s="25"/>
      <c r="J76" s="25"/>
      <c r="K76" s="25"/>
      <c r="L76" s="25"/>
    </row>
    <row r="77" spans="1:17" s="19" customFormat="1" ht="18.75" x14ac:dyDescent="0.3">
      <c r="A77" s="119" t="s">
        <v>212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</row>
    <row r="78" spans="1:17" s="16" customForma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 ht="18.75" x14ac:dyDescent="0.3">
      <c r="A79" s="105" t="s">
        <v>61</v>
      </c>
      <c r="B79" s="105"/>
      <c r="C79" s="105"/>
      <c r="D79" s="105"/>
      <c r="E79" s="105"/>
      <c r="F79" s="106"/>
      <c r="G79" s="108"/>
      <c r="H79" s="107"/>
      <c r="I79" s="15" t="s">
        <v>213</v>
      </c>
      <c r="J79" s="9"/>
    </row>
    <row r="80" spans="1:17" ht="22.5" x14ac:dyDescent="0.3">
      <c r="A80" s="105" t="s">
        <v>214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</row>
    <row r="81" spans="1:17" ht="18.75" customHeight="1" x14ac:dyDescent="0.3">
      <c r="A81" s="117" t="s">
        <v>215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</row>
    <row r="82" spans="1:17" s="19" customFormat="1" ht="19.5" x14ac:dyDescent="0.35">
      <c r="A82" s="17" t="s">
        <v>595</v>
      </c>
      <c r="B82" s="17"/>
      <c r="C82" s="17">
        <f>F79</f>
        <v>0</v>
      </c>
      <c r="D82" s="70" t="s">
        <v>16</v>
      </c>
      <c r="E82" s="70"/>
      <c r="F82" s="71"/>
      <c r="G82" s="125">
        <f>(4.27*C82)/1000</f>
        <v>0</v>
      </c>
      <c r="H82" s="125"/>
      <c r="I82" s="17" t="s">
        <v>17</v>
      </c>
      <c r="K82" s="21"/>
      <c r="L82" s="21"/>
      <c r="M82" s="21"/>
      <c r="N82" s="21"/>
      <c r="O82" s="21"/>
      <c r="P82" s="21"/>
      <c r="Q82" s="21"/>
    </row>
    <row r="83" spans="1:17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18.75" x14ac:dyDescent="0.3">
      <c r="A84" s="102" t="s">
        <v>60</v>
      </c>
      <c r="B84" s="102"/>
      <c r="C84" s="102"/>
      <c r="D84" s="102"/>
      <c r="E84" s="104">
        <f>G82</f>
        <v>0</v>
      </c>
      <c r="F84" s="104"/>
      <c r="G84" s="104"/>
      <c r="H84" s="104"/>
      <c r="I84" s="103" t="s">
        <v>27</v>
      </c>
      <c r="J84" s="103"/>
      <c r="K84" s="103"/>
      <c r="L84" s="103"/>
    </row>
    <row r="85" spans="1:17" ht="18.75" x14ac:dyDescent="0.3">
      <c r="A85" s="44"/>
      <c r="B85" s="44"/>
      <c r="C85" s="44"/>
      <c r="D85" s="44"/>
      <c r="E85" s="24"/>
      <c r="F85" s="24"/>
      <c r="G85" s="24"/>
      <c r="H85" s="24"/>
      <c r="I85" s="25"/>
      <c r="J85" s="25"/>
      <c r="K85" s="25"/>
      <c r="L85" s="25"/>
    </row>
    <row r="86" spans="1:17" s="19" customFormat="1" ht="18.75" x14ac:dyDescent="0.3">
      <c r="A86" s="119" t="s">
        <v>216</v>
      </c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</row>
    <row r="87" spans="1:17" s="16" customFormat="1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8.75" x14ac:dyDescent="0.3">
      <c r="A88" s="140" t="s">
        <v>650</v>
      </c>
      <c r="B88" s="140"/>
      <c r="C88" s="140"/>
      <c r="D88" s="140"/>
      <c r="E88" s="140"/>
      <c r="F88" s="140"/>
      <c r="H88" s="106"/>
      <c r="I88" s="108"/>
      <c r="J88" s="107"/>
    </row>
    <row r="89" spans="1:17" ht="18.75" x14ac:dyDescent="0.3">
      <c r="A89" s="105" t="s">
        <v>647</v>
      </c>
      <c r="B89" s="105"/>
      <c r="C89" s="105"/>
      <c r="D89" s="105"/>
      <c r="E89" s="105"/>
      <c r="F89" s="105"/>
      <c r="H89" s="106"/>
      <c r="I89" s="108"/>
      <c r="J89" s="107"/>
    </row>
    <row r="90" spans="1:17" ht="22.5" x14ac:dyDescent="0.3">
      <c r="A90" s="105" t="s">
        <v>217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</row>
    <row r="91" spans="1:17" ht="18.75" customHeight="1" x14ac:dyDescent="0.3">
      <c r="A91" s="139" t="s">
        <v>646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</row>
    <row r="92" spans="1:17" ht="18.75" customHeight="1" x14ac:dyDescent="0.3">
      <c r="A92" s="138" t="s">
        <v>645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</row>
    <row r="93" spans="1:17" s="19" customFormat="1" ht="19.5" x14ac:dyDescent="0.35">
      <c r="A93" s="17" t="s">
        <v>649</v>
      </c>
      <c r="B93" s="17"/>
      <c r="C93" s="17">
        <f>H88</f>
        <v>0</v>
      </c>
      <c r="D93" s="70" t="s">
        <v>644</v>
      </c>
      <c r="E93" s="70" t="s">
        <v>648</v>
      </c>
      <c r="F93" s="71">
        <f>H89</f>
        <v>0</v>
      </c>
      <c r="G93" s="125" t="s">
        <v>597</v>
      </c>
      <c r="H93" s="125"/>
      <c r="I93" s="97" t="e">
        <f>((5*H88*40)/H89)/1000</f>
        <v>#DIV/0!</v>
      </c>
      <c r="J93" s="17" t="s">
        <v>17</v>
      </c>
      <c r="K93" s="21"/>
      <c r="L93" s="21"/>
      <c r="M93" s="21"/>
      <c r="N93" s="21"/>
      <c r="O93" s="21"/>
      <c r="P93" s="21"/>
      <c r="Q93" s="21"/>
    </row>
    <row r="94" spans="1:17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ht="18.75" x14ac:dyDescent="0.3">
      <c r="A97" s="102" t="s">
        <v>60</v>
      </c>
      <c r="B97" s="102"/>
      <c r="C97" s="102"/>
      <c r="D97" s="102"/>
      <c r="E97" s="104">
        <f>F93</f>
        <v>0</v>
      </c>
      <c r="F97" s="104"/>
      <c r="G97" s="104"/>
      <c r="H97" s="104"/>
      <c r="I97" s="103" t="s">
        <v>27</v>
      </c>
      <c r="J97" s="103"/>
      <c r="K97" s="103"/>
      <c r="L97" s="103"/>
    </row>
    <row r="98" spans="1:17" ht="18.75" x14ac:dyDescent="0.3">
      <c r="A98" s="44"/>
      <c r="B98" s="44"/>
      <c r="C98" s="44"/>
      <c r="D98" s="44"/>
      <c r="E98" s="24"/>
      <c r="F98" s="24"/>
      <c r="G98" s="24"/>
      <c r="H98" s="24"/>
      <c r="I98" s="25"/>
      <c r="J98" s="25"/>
      <c r="K98" s="25"/>
      <c r="L98" s="25"/>
    </row>
    <row r="99" spans="1:17" s="16" customFormat="1" ht="18.75" customHeight="1" x14ac:dyDescent="0.3">
      <c r="A99" s="133" t="s">
        <v>62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</row>
    <row r="100" spans="1:17" ht="18.75" x14ac:dyDescent="0.3">
      <c r="A100" s="14" t="s">
        <v>63</v>
      </c>
      <c r="B100" s="14"/>
      <c r="C100" s="14"/>
      <c r="D100" s="14"/>
      <c r="E100" s="36"/>
      <c r="F100" s="9"/>
      <c r="G100" s="106"/>
      <c r="H100" s="107"/>
      <c r="I100" s="15"/>
      <c r="J100" s="9"/>
    </row>
    <row r="101" spans="1:17" ht="3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 ht="18.75" x14ac:dyDescent="0.3">
      <c r="A102" s="14" t="s">
        <v>64</v>
      </c>
      <c r="B102" s="14"/>
      <c r="C102" s="14"/>
      <c r="D102" s="14"/>
      <c r="E102" s="36"/>
      <c r="F102" s="9"/>
      <c r="G102" s="106"/>
      <c r="H102" s="107"/>
      <c r="I102" s="15" t="s">
        <v>69</v>
      </c>
      <c r="J102" s="9"/>
    </row>
    <row r="103" spans="1:17" s="16" customFormat="1" ht="18.75" x14ac:dyDescent="0.3">
      <c r="A103" s="105" t="s">
        <v>218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</row>
    <row r="104" spans="1:17" s="16" customFormat="1" ht="18.75" x14ac:dyDescent="0.3">
      <c r="A104" s="105" t="s">
        <v>219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</row>
    <row r="105" spans="1:17" s="19" customFormat="1" ht="19.5" x14ac:dyDescent="0.35">
      <c r="A105" s="17" t="s">
        <v>84</v>
      </c>
      <c r="B105" s="17"/>
      <c r="C105" s="18">
        <f>G100</f>
        <v>0</v>
      </c>
      <c r="D105" s="18" t="s">
        <v>15</v>
      </c>
      <c r="E105" s="18">
        <f>G102</f>
        <v>0</v>
      </c>
      <c r="F105" s="17" t="s">
        <v>16</v>
      </c>
      <c r="G105" s="17"/>
      <c r="H105" s="125">
        <f>(7*C105*E105)/1000</f>
        <v>0</v>
      </c>
      <c r="I105" s="125"/>
      <c r="J105" s="17" t="s">
        <v>65</v>
      </c>
      <c r="K105" s="17"/>
      <c r="L105" s="21"/>
      <c r="M105" s="21"/>
      <c r="N105" s="21"/>
    </row>
    <row r="106" spans="1:17" s="16" customFormat="1" ht="18.75" x14ac:dyDescent="0.3">
      <c r="A106" s="105" t="s">
        <v>220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</row>
    <row r="107" spans="1:17" s="16" customFormat="1" ht="18.75" x14ac:dyDescent="0.3">
      <c r="A107" s="105" t="s">
        <v>221</v>
      </c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</row>
    <row r="108" spans="1:17" s="19" customFormat="1" ht="19.5" x14ac:dyDescent="0.35">
      <c r="A108" s="17" t="s">
        <v>222</v>
      </c>
      <c r="B108" s="17"/>
      <c r="C108" s="18">
        <f>G100</f>
        <v>0</v>
      </c>
      <c r="D108" s="18" t="s">
        <v>15</v>
      </c>
      <c r="E108" s="18">
        <f>G102</f>
        <v>0</v>
      </c>
      <c r="F108" s="17" t="s">
        <v>16</v>
      </c>
      <c r="G108" s="17"/>
      <c r="H108" s="125">
        <f>(5*C108*E108)/1000</f>
        <v>0</v>
      </c>
      <c r="I108" s="125"/>
      <c r="J108" s="17" t="s">
        <v>66</v>
      </c>
      <c r="K108" s="17"/>
      <c r="L108" s="21"/>
      <c r="M108" s="21"/>
      <c r="N108" s="21"/>
      <c r="O108" s="21"/>
      <c r="P108" s="21"/>
      <c r="Q108" s="21"/>
    </row>
    <row r="109" spans="1:17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 ht="21.75" customHeight="1" x14ac:dyDescent="0.3">
      <c r="A110" s="102" t="s">
        <v>60</v>
      </c>
      <c r="B110" s="135"/>
      <c r="C110" s="135"/>
      <c r="D110" s="135"/>
      <c r="E110" s="136">
        <f>H105+H108</f>
        <v>0</v>
      </c>
      <c r="F110" s="136"/>
      <c r="G110" s="136"/>
      <c r="H110" s="136"/>
      <c r="I110" s="109" t="s">
        <v>27</v>
      </c>
      <c r="J110" s="137"/>
      <c r="K110" s="137"/>
      <c r="L110" s="137"/>
    </row>
    <row r="111" spans="1:17" ht="13.5" customHeight="1" x14ac:dyDescent="0.3">
      <c r="A111" s="44"/>
      <c r="B111" s="82"/>
      <c r="C111" s="82"/>
      <c r="D111" s="82"/>
      <c r="E111" s="24"/>
      <c r="F111" s="3"/>
      <c r="G111" s="3"/>
      <c r="H111" s="3"/>
      <c r="I111" s="3"/>
      <c r="J111" s="29"/>
      <c r="K111" s="29"/>
      <c r="L111" s="29"/>
    </row>
    <row r="112" spans="1:17" ht="18.75" x14ac:dyDescent="0.3">
      <c r="A112" s="26" t="s">
        <v>8</v>
      </c>
    </row>
    <row r="113" spans="1:7" ht="18.75" x14ac:dyDescent="0.3">
      <c r="A113" s="26" t="s">
        <v>149</v>
      </c>
    </row>
    <row r="114" spans="1:7" ht="12" customHeight="1" x14ac:dyDescent="0.3">
      <c r="A114" s="27"/>
    </row>
    <row r="115" spans="1:7" ht="18.75" x14ac:dyDescent="0.3">
      <c r="A115" s="26" t="s">
        <v>9</v>
      </c>
    </row>
    <row r="116" spans="1:7" ht="18.75" x14ac:dyDescent="0.3">
      <c r="A116" s="26"/>
    </row>
    <row r="117" spans="1:7" ht="18.75" x14ac:dyDescent="0.3">
      <c r="A117" s="26" t="s">
        <v>10</v>
      </c>
    </row>
    <row r="120" spans="1:7" ht="11.25" customHeight="1" x14ac:dyDescent="0.3">
      <c r="A120" s="13"/>
      <c r="B120" s="13"/>
      <c r="C120" s="13"/>
      <c r="D120" s="13"/>
      <c r="E120" s="13"/>
      <c r="F120" s="13"/>
      <c r="G120" s="13"/>
    </row>
  </sheetData>
  <sheetProtection sheet="1" objects="1" scenarios="1"/>
  <mergeCells count="112">
    <mergeCell ref="H108:I108"/>
    <mergeCell ref="A110:D110"/>
    <mergeCell ref="E110:H110"/>
    <mergeCell ref="I110:L110"/>
    <mergeCell ref="A107:Q107"/>
    <mergeCell ref="E65:H65"/>
    <mergeCell ref="I65:L65"/>
    <mergeCell ref="A67:Q67"/>
    <mergeCell ref="A68:Q68"/>
    <mergeCell ref="A70:E70"/>
    <mergeCell ref="A106:Q106"/>
    <mergeCell ref="A92:Q92"/>
    <mergeCell ref="A91:N91"/>
    <mergeCell ref="O91:Q91"/>
    <mergeCell ref="A89:F89"/>
    <mergeCell ref="H89:J89"/>
    <mergeCell ref="A88:F88"/>
    <mergeCell ref="H88:J88"/>
    <mergeCell ref="F70:H70"/>
    <mergeCell ref="A77:Q77"/>
    <mergeCell ref="A79:E79"/>
    <mergeCell ref="F79:H79"/>
    <mergeCell ref="A81:Q81"/>
    <mergeCell ref="A84:D84"/>
    <mergeCell ref="A10:Q10"/>
    <mergeCell ref="A13:E13"/>
    <mergeCell ref="A62:Q62"/>
    <mergeCell ref="A57:Q57"/>
    <mergeCell ref="A58:Q58"/>
    <mergeCell ref="A15:Q15"/>
    <mergeCell ref="F13:H13"/>
    <mergeCell ref="A21:D21"/>
    <mergeCell ref="E21:H21"/>
    <mergeCell ref="E54:H54"/>
    <mergeCell ref="I54:L54"/>
    <mergeCell ref="I46:J46"/>
    <mergeCell ref="F50:H50"/>
    <mergeCell ref="A51:Q51"/>
    <mergeCell ref="A43:E43"/>
    <mergeCell ref="F43:H43"/>
    <mergeCell ref="E84:H84"/>
    <mergeCell ref="H105:I105"/>
    <mergeCell ref="S2:Y3"/>
    <mergeCell ref="S4:Y8"/>
    <mergeCell ref="G8:Q8"/>
    <mergeCell ref="U10:X10"/>
    <mergeCell ref="E97:H97"/>
    <mergeCell ref="I97:L97"/>
    <mergeCell ref="A86:Q86"/>
    <mergeCell ref="I21:L21"/>
    <mergeCell ref="A18:Q18"/>
    <mergeCell ref="A14:Q14"/>
    <mergeCell ref="A99:Q99"/>
    <mergeCell ref="A60:E60"/>
    <mergeCell ref="F60:H60"/>
    <mergeCell ref="A61:Q61"/>
    <mergeCell ref="A65:D65"/>
    <mergeCell ref="G63:H63"/>
    <mergeCell ref="G73:H73"/>
    <mergeCell ref="I84:L84"/>
    <mergeCell ref="G82:H82"/>
    <mergeCell ref="A103:Q103"/>
    <mergeCell ref="A104:Q104"/>
    <mergeCell ref="G93:H93"/>
    <mergeCell ref="A97:D97"/>
    <mergeCell ref="G100:H100"/>
    <mergeCell ref="G102:H102"/>
    <mergeCell ref="A1:Q1"/>
    <mergeCell ref="A2:Q2"/>
    <mergeCell ref="A3:Q3"/>
    <mergeCell ref="C6:F6"/>
    <mergeCell ref="G6:H6"/>
    <mergeCell ref="J6:M6"/>
    <mergeCell ref="A5:Q5"/>
    <mergeCell ref="A4:Q4"/>
    <mergeCell ref="A40:D40"/>
    <mergeCell ref="E40:H40"/>
    <mergeCell ref="I40:L40"/>
    <mergeCell ref="A32:D32"/>
    <mergeCell ref="E32:H32"/>
    <mergeCell ref="I32:L32"/>
    <mergeCell ref="A75:D75"/>
    <mergeCell ref="E75:H75"/>
    <mergeCell ref="I75:L75"/>
    <mergeCell ref="A90:Q90"/>
    <mergeCell ref="A52:Q52"/>
    <mergeCell ref="A54:D54"/>
    <mergeCell ref="A50:E50"/>
    <mergeCell ref="A80:Q80"/>
    <mergeCell ref="A71:Q71"/>
    <mergeCell ref="A72:Q72"/>
    <mergeCell ref="A11:Q12"/>
    <mergeCell ref="A24:Q25"/>
    <mergeCell ref="F36:H36"/>
    <mergeCell ref="A37:Q37"/>
    <mergeCell ref="A38:Q38"/>
    <mergeCell ref="A26:E26"/>
    <mergeCell ref="A27:Q27"/>
    <mergeCell ref="F26:H26"/>
    <mergeCell ref="A28:Q28"/>
    <mergeCell ref="A17:Q17"/>
    <mergeCell ref="A36:E36"/>
    <mergeCell ref="I29:J29"/>
    <mergeCell ref="I19:J19"/>
    <mergeCell ref="I16:J16"/>
    <mergeCell ref="I53:J53"/>
    <mergeCell ref="A47:D47"/>
    <mergeCell ref="E47:H47"/>
    <mergeCell ref="I47:L47"/>
    <mergeCell ref="A44:Q44"/>
    <mergeCell ref="A45:Q45"/>
    <mergeCell ref="I39:J39"/>
  </mergeCells>
  <phoneticPr fontId="0" type="noConversion"/>
  <hyperlinks>
    <hyperlink ref="S2" location="Список!A1" display="Вернуться к выбору расчёта " xr:uid="{00000000-0004-0000-0500-000000000000}"/>
  </hyperlinks>
  <pageMargins left="0.78740157480314965" right="0.39370078740157483" top="0.59055118110236227" bottom="0.59055118110236227" header="0.51181102362204722" footer="0.51181102362204722"/>
  <pageSetup paperSize="9" scale="7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>
    <pageSetUpPr fitToPage="1"/>
  </sheetPr>
  <dimension ref="A1:Q47"/>
  <sheetViews>
    <sheetView topLeftCell="A22" zoomScaleNormal="100" workbookViewId="0">
      <selection activeCell="F33" sqref="F33:H33"/>
    </sheetView>
  </sheetViews>
  <sheetFormatPr defaultRowHeight="12.75" x14ac:dyDescent="0.2"/>
  <cols>
    <col min="1" max="1" width="5.140625" style="5" customWidth="1"/>
    <col min="2" max="2" width="6.85546875" style="5" customWidth="1"/>
    <col min="3" max="3" width="9.28515625" style="5" bestFit="1" customWidth="1"/>
    <col min="4" max="4" width="5.85546875" style="5" customWidth="1"/>
    <col min="5" max="5" width="8.28515625" style="5" customWidth="1"/>
    <col min="6" max="6" width="2.5703125" style="5" customWidth="1"/>
    <col min="7" max="7" width="2.85546875" style="5" customWidth="1"/>
    <col min="8" max="8" width="6.28515625" style="5" customWidth="1"/>
    <col min="9" max="9" width="10.140625" style="5" bestFit="1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4.7109375" style="5" customWidth="1"/>
    <col min="17" max="17" width="6.42578125" style="5" customWidth="1"/>
    <col min="18" max="22" width="5.140625" style="5" customWidth="1"/>
    <col min="23" max="16384" width="9.140625" style="5"/>
  </cols>
  <sheetData>
    <row r="1" spans="1:17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19.5" customHeight="1" x14ac:dyDescent="0.3">
      <c r="A3" s="109" t="s">
        <v>223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7"/>
    </row>
    <row r="5" spans="1:17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7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</row>
    <row r="7" spans="1:17" ht="14.25" customHeight="1" x14ac:dyDescent="0.3">
      <c r="A7" s="10"/>
    </row>
    <row r="8" spans="1:17" ht="18.75" x14ac:dyDescent="0.3">
      <c r="A8" s="105" t="s">
        <v>68</v>
      </c>
      <c r="B8" s="105"/>
      <c r="C8" s="105"/>
      <c r="D8" s="105"/>
      <c r="E8" s="105"/>
      <c r="F8" s="105"/>
      <c r="G8" s="105"/>
      <c r="H8" s="105"/>
      <c r="I8" s="105"/>
      <c r="J8" s="105"/>
      <c r="K8" s="115"/>
      <c r="L8" s="106"/>
      <c r="M8" s="108"/>
      <c r="N8" s="108"/>
      <c r="O8" s="108"/>
      <c r="P8" s="108"/>
      <c r="Q8" s="107"/>
    </row>
    <row r="9" spans="1:17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7"/>
    </row>
    <row r="11" spans="1:17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37"/>
      <c r="K11" s="37"/>
      <c r="L11" s="13"/>
      <c r="M11" s="13"/>
      <c r="N11" s="13"/>
      <c r="O11" s="13"/>
      <c r="P11" s="13"/>
      <c r="Q11" s="13"/>
    </row>
    <row r="12" spans="1:17" ht="35.25" customHeight="1" x14ac:dyDescent="0.2">
      <c r="A12" s="141" t="s">
        <v>236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7" ht="18.75" x14ac:dyDescent="0.3">
      <c r="A13" s="50" t="s">
        <v>237</v>
      </c>
    </row>
    <row r="14" spans="1:17" ht="18.75" x14ac:dyDescent="0.3">
      <c r="A14" s="105" t="s">
        <v>224</v>
      </c>
      <c r="B14" s="105"/>
      <c r="C14" s="105"/>
      <c r="D14" s="105"/>
      <c r="E14" s="105"/>
      <c r="F14" s="106"/>
      <c r="G14" s="108"/>
      <c r="H14" s="107"/>
      <c r="I14" s="15"/>
      <c r="J14" s="9"/>
    </row>
    <row r="15" spans="1:17" ht="6" customHeight="1" x14ac:dyDescent="0.3">
      <c r="A15" s="11"/>
      <c r="B15" s="11"/>
      <c r="C15" s="11"/>
      <c r="D15" s="11"/>
      <c r="J15" s="9"/>
    </row>
    <row r="16" spans="1:17" ht="18.75" x14ac:dyDescent="0.3">
      <c r="A16" s="105" t="s">
        <v>64</v>
      </c>
      <c r="B16" s="105"/>
      <c r="C16" s="105"/>
      <c r="D16" s="105"/>
      <c r="E16" s="105"/>
      <c r="F16" s="106"/>
      <c r="G16" s="108"/>
      <c r="H16" s="107"/>
      <c r="I16" s="15" t="s">
        <v>69</v>
      </c>
      <c r="J16" s="9"/>
    </row>
    <row r="17" spans="1:17" s="16" customFormat="1" ht="18.75" x14ac:dyDescent="0.3">
      <c r="A17" s="105" t="s">
        <v>229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s="16" customFormat="1" ht="18.75" x14ac:dyDescent="0.3">
      <c r="A18" s="105" t="s">
        <v>231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1:17" s="19" customFormat="1" ht="19.5" x14ac:dyDescent="0.35">
      <c r="A19" s="17" t="s">
        <v>226</v>
      </c>
      <c r="B19" s="17"/>
      <c r="C19" s="18">
        <f>F14</f>
        <v>0</v>
      </c>
      <c r="D19" s="18" t="s">
        <v>15</v>
      </c>
      <c r="E19" s="18">
        <f>F16</f>
        <v>0</v>
      </c>
      <c r="F19" s="17" t="s">
        <v>16</v>
      </c>
      <c r="G19" s="17"/>
      <c r="I19" s="95">
        <f>(6.3*C19*E19)/1000</f>
        <v>0</v>
      </c>
      <c r="J19" s="17" t="s">
        <v>65</v>
      </c>
      <c r="K19" s="17"/>
      <c r="L19" s="21"/>
      <c r="M19" s="21"/>
      <c r="N19" s="21"/>
    </row>
    <row r="20" spans="1:17" s="16" customFormat="1" ht="18.75" x14ac:dyDescent="0.3">
      <c r="A20" s="105" t="s">
        <v>230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</row>
    <row r="21" spans="1:17" s="16" customFormat="1" ht="18.75" x14ac:dyDescent="0.3">
      <c r="A21" s="105" t="s">
        <v>232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</row>
    <row r="22" spans="1:17" s="19" customFormat="1" ht="19.5" x14ac:dyDescent="0.35">
      <c r="A22" s="17" t="s">
        <v>228</v>
      </c>
      <c r="B22" s="17"/>
      <c r="C22" s="18">
        <f>F14</f>
        <v>0</v>
      </c>
      <c r="D22" s="18" t="s">
        <v>15</v>
      </c>
      <c r="E22" s="18">
        <f>F16</f>
        <v>0</v>
      </c>
      <c r="F22" s="17" t="s">
        <v>16</v>
      </c>
      <c r="G22" s="17"/>
      <c r="I22" s="95">
        <f>(2.7*C22*E22)/1000</f>
        <v>0</v>
      </c>
      <c r="J22" s="17" t="s">
        <v>66</v>
      </c>
      <c r="K22" s="17"/>
      <c r="L22" s="21"/>
      <c r="M22" s="21"/>
      <c r="N22" s="21"/>
      <c r="O22" s="21"/>
      <c r="P22" s="21"/>
      <c r="Q22" s="21"/>
    </row>
    <row r="23" spans="1:17" s="19" customFormat="1" ht="12" customHeight="1" x14ac:dyDescent="0.35">
      <c r="A23" s="17"/>
      <c r="B23" s="17"/>
      <c r="C23" s="18"/>
      <c r="D23" s="18"/>
      <c r="E23" s="18"/>
      <c r="F23" s="17"/>
      <c r="G23" s="17"/>
      <c r="I23" s="20"/>
      <c r="J23" s="17"/>
      <c r="K23" s="17"/>
      <c r="L23" s="21"/>
      <c r="M23" s="21"/>
      <c r="N23" s="21"/>
      <c r="O23" s="21"/>
      <c r="P23" s="21"/>
      <c r="Q23" s="21"/>
    </row>
    <row r="24" spans="1:17" ht="18.75" x14ac:dyDescent="0.3">
      <c r="A24" s="14" t="s">
        <v>70</v>
      </c>
      <c r="B24" s="14"/>
      <c r="C24" s="14"/>
      <c r="D24" s="14"/>
      <c r="E24" s="14"/>
      <c r="J24" s="106"/>
      <c r="K24" s="108"/>
      <c r="L24" s="107"/>
    </row>
    <row r="25" spans="1:17" s="16" customFormat="1" ht="18.75" x14ac:dyDescent="0.3">
      <c r="A25" s="105" t="s">
        <v>225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</row>
    <row r="26" spans="1:17" s="16" customFormat="1" ht="18.75" x14ac:dyDescent="0.3">
      <c r="A26" s="105" t="s">
        <v>233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</row>
    <row r="27" spans="1:17" s="19" customFormat="1" ht="19.5" x14ac:dyDescent="0.35">
      <c r="A27" s="17" t="s">
        <v>226</v>
      </c>
      <c r="B27" s="17"/>
      <c r="C27" s="18">
        <f>J24</f>
        <v>0</v>
      </c>
      <c r="D27" s="18" t="s">
        <v>15</v>
      </c>
      <c r="E27" s="18">
        <f>F16</f>
        <v>0</v>
      </c>
      <c r="F27" s="17" t="s">
        <v>16</v>
      </c>
      <c r="G27" s="17"/>
      <c r="I27" s="95">
        <f>(6.3*C27*E27)/1000</f>
        <v>0</v>
      </c>
      <c r="J27" s="17" t="s">
        <v>65</v>
      </c>
      <c r="K27" s="17"/>
      <c r="L27" s="21"/>
      <c r="M27" s="21"/>
      <c r="N27" s="21"/>
    </row>
    <row r="28" spans="1:17" s="16" customFormat="1" ht="18.75" x14ac:dyDescent="0.3">
      <c r="A28" s="105" t="s">
        <v>227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1:17" s="16" customFormat="1" ht="18.75" x14ac:dyDescent="0.3">
      <c r="A29" s="105" t="s">
        <v>234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s="19" customFormat="1" ht="19.5" x14ac:dyDescent="0.35">
      <c r="A30" s="17" t="s">
        <v>228</v>
      </c>
      <c r="B30" s="17"/>
      <c r="C30" s="18">
        <f>J24</f>
        <v>0</v>
      </c>
      <c r="D30" s="18" t="s">
        <v>15</v>
      </c>
      <c r="E30" s="18">
        <f>F16</f>
        <v>0</v>
      </c>
      <c r="F30" s="17" t="s">
        <v>16</v>
      </c>
      <c r="G30" s="17"/>
      <c r="I30" s="95">
        <f>(2.7*C30*E30)/1000</f>
        <v>0</v>
      </c>
      <c r="J30" s="17" t="s">
        <v>66</v>
      </c>
      <c r="K30" s="17"/>
      <c r="L30" s="21"/>
      <c r="M30" s="21"/>
      <c r="N30" s="21"/>
      <c r="O30" s="21"/>
      <c r="P30" s="21"/>
      <c r="Q30" s="21"/>
    </row>
    <row r="31" spans="1:17" ht="24.75" customHeight="1" x14ac:dyDescent="0.3">
      <c r="A31" s="50" t="s">
        <v>238</v>
      </c>
    </row>
    <row r="32" spans="1:17" s="19" customFormat="1" ht="11.25" customHeight="1" x14ac:dyDescent="0.35">
      <c r="A32" s="17"/>
      <c r="B32" s="17"/>
      <c r="C32" s="18"/>
      <c r="D32" s="17"/>
      <c r="E32" s="18"/>
      <c r="F32" s="17"/>
      <c r="G32" s="17"/>
      <c r="H32" s="17"/>
      <c r="I32" s="17"/>
      <c r="J32" s="18"/>
      <c r="K32" s="17"/>
      <c r="L32" s="17"/>
      <c r="P32" s="21"/>
      <c r="Q32" s="21"/>
    </row>
    <row r="33" spans="1:17" ht="18.75" x14ac:dyDescent="0.3">
      <c r="A33" s="105" t="s">
        <v>235</v>
      </c>
      <c r="B33" s="105"/>
      <c r="C33" s="105"/>
      <c r="D33" s="105"/>
      <c r="E33" s="115"/>
      <c r="F33" s="106"/>
      <c r="G33" s="108"/>
      <c r="H33" s="107"/>
      <c r="I33" s="15"/>
      <c r="J33" s="9"/>
    </row>
    <row r="34" spans="1:17" s="16" customFormat="1" ht="18.75" x14ac:dyDescent="0.3">
      <c r="A34" s="105" t="s">
        <v>239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spans="1:17" s="16" customFormat="1" ht="18.75" x14ac:dyDescent="0.3">
      <c r="A35" s="105" t="s">
        <v>240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</row>
    <row r="36" spans="1:17" s="19" customFormat="1" ht="19.5" x14ac:dyDescent="0.35">
      <c r="A36" s="17" t="s">
        <v>53</v>
      </c>
      <c r="B36" s="17"/>
      <c r="C36" s="18">
        <f>F33</f>
        <v>0</v>
      </c>
      <c r="D36" s="18" t="s">
        <v>15</v>
      </c>
      <c r="E36" s="18">
        <f>F16</f>
        <v>0</v>
      </c>
      <c r="F36" s="17" t="s">
        <v>16</v>
      </c>
      <c r="G36" s="17"/>
      <c r="I36" s="95">
        <f>(40*C36*E36)/1000</f>
        <v>0</v>
      </c>
      <c r="J36" s="17" t="s">
        <v>65</v>
      </c>
      <c r="K36" s="17"/>
      <c r="L36" s="21"/>
      <c r="M36" s="21"/>
      <c r="N36" s="21"/>
    </row>
    <row r="37" spans="1:17" s="16" customFormat="1" ht="18.75" x14ac:dyDescent="0.3">
      <c r="A37" s="105" t="s">
        <v>242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</row>
    <row r="38" spans="1:17" s="16" customFormat="1" ht="18.75" x14ac:dyDescent="0.3">
      <c r="A38" s="105" t="s">
        <v>241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</row>
    <row r="39" spans="1:17" s="19" customFormat="1" ht="19.5" x14ac:dyDescent="0.35">
      <c r="A39" s="17" t="s">
        <v>98</v>
      </c>
      <c r="B39" s="17"/>
      <c r="C39" s="18">
        <f>F33</f>
        <v>0</v>
      </c>
      <c r="D39" s="18" t="s">
        <v>15</v>
      </c>
      <c r="E39" s="18">
        <f>F16</f>
        <v>0</v>
      </c>
      <c r="F39" s="17" t="s">
        <v>16</v>
      </c>
      <c r="G39" s="17"/>
      <c r="I39" s="95">
        <f>(30*C39*E39)/1000</f>
        <v>0</v>
      </c>
      <c r="J39" s="17" t="s">
        <v>66</v>
      </c>
      <c r="K39" s="17"/>
      <c r="L39" s="21"/>
      <c r="M39" s="21"/>
      <c r="N39" s="21"/>
      <c r="O39" s="21"/>
      <c r="P39" s="21"/>
      <c r="Q39" s="21"/>
    </row>
    <row r="40" spans="1:17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ht="18.75" x14ac:dyDescent="0.3">
      <c r="A41" s="102" t="s">
        <v>60</v>
      </c>
      <c r="B41" s="102"/>
      <c r="C41" s="102"/>
      <c r="D41" s="102"/>
      <c r="E41" s="104">
        <f>I19+I22+I27+I30+I36+I39</f>
        <v>0</v>
      </c>
      <c r="F41" s="104"/>
      <c r="G41" s="104"/>
      <c r="H41" s="104"/>
      <c r="I41" s="103" t="s">
        <v>27</v>
      </c>
      <c r="J41" s="103"/>
      <c r="K41" s="103"/>
      <c r="L41" s="103"/>
    </row>
    <row r="42" spans="1:17" ht="24.75" customHeight="1" x14ac:dyDescent="0.3">
      <c r="A42" s="26" t="s">
        <v>8</v>
      </c>
    </row>
    <row r="43" spans="1:17" ht="18.75" x14ac:dyDescent="0.3">
      <c r="A43" s="26" t="s">
        <v>149</v>
      </c>
    </row>
    <row r="44" spans="1:17" ht="12" customHeight="1" x14ac:dyDescent="0.3">
      <c r="A44" s="27"/>
    </row>
    <row r="45" spans="1:17" ht="18.75" x14ac:dyDescent="0.3">
      <c r="A45" s="26" t="s">
        <v>9</v>
      </c>
    </row>
    <row r="46" spans="1:17" ht="18.75" x14ac:dyDescent="0.3">
      <c r="A46" s="26"/>
    </row>
    <row r="47" spans="1:17" ht="18.75" x14ac:dyDescent="0.3">
      <c r="A47" s="26" t="s">
        <v>10</v>
      </c>
    </row>
  </sheetData>
  <sheetProtection password="CA9C" sheet="1" objects="1" scenarios="1"/>
  <protectedRanges>
    <protectedRange sqref="A4 G6 J6 L8 A10 F14 F16 J24 F33" name="Диапазон1"/>
  </protectedRanges>
  <mergeCells count="34">
    <mergeCell ref="A1:Q1"/>
    <mergeCell ref="A2:Q2"/>
    <mergeCell ref="A3:Q3"/>
    <mergeCell ref="C6:F6"/>
    <mergeCell ref="G6:H6"/>
    <mergeCell ref="J6:M6"/>
    <mergeCell ref="A5:Q5"/>
    <mergeCell ref="A4:Q4"/>
    <mergeCell ref="L8:Q8"/>
    <mergeCell ref="A8:K8"/>
    <mergeCell ref="A41:D41"/>
    <mergeCell ref="E41:H41"/>
    <mergeCell ref="I41:L41"/>
    <mergeCell ref="A38:Q38"/>
    <mergeCell ref="A16:E16"/>
    <mergeCell ref="F16:H16"/>
    <mergeCell ref="A17:Q17"/>
    <mergeCell ref="A20:Q20"/>
    <mergeCell ref="A28:Q28"/>
    <mergeCell ref="A37:Q37"/>
    <mergeCell ref="F33:H33"/>
    <mergeCell ref="A18:Q18"/>
    <mergeCell ref="A35:Q35"/>
    <mergeCell ref="A29:Q29"/>
    <mergeCell ref="A33:E33"/>
    <mergeCell ref="A21:Q21"/>
    <mergeCell ref="A34:Q34"/>
    <mergeCell ref="J24:L24"/>
    <mergeCell ref="A26:Q26"/>
    <mergeCell ref="A10:Q10"/>
    <mergeCell ref="A14:E14"/>
    <mergeCell ref="F14:H14"/>
    <mergeCell ref="A12:Q12"/>
    <mergeCell ref="A25:Q25"/>
  </mergeCells>
  <phoneticPr fontId="0" type="noConversion"/>
  <pageMargins left="0.78740157480314965" right="0.39370078740157483" top="0.59055118110236227" bottom="0.59055118110236227" header="0.51181102362204722" footer="0.51181102362204722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>
    <pageSetUpPr fitToPage="1"/>
  </sheetPr>
  <dimension ref="A1:Y55"/>
  <sheetViews>
    <sheetView topLeftCell="A37" workbookViewId="0">
      <selection activeCell="F42" sqref="F42:H42"/>
    </sheetView>
  </sheetViews>
  <sheetFormatPr defaultRowHeight="12.75" x14ac:dyDescent="0.2"/>
  <cols>
    <col min="1" max="1" width="9.28515625" style="5" customWidth="1"/>
    <col min="2" max="2" width="6.42578125" style="5" customWidth="1"/>
    <col min="3" max="3" width="7.28515625" style="5" customWidth="1"/>
    <col min="4" max="4" width="5.85546875" style="5" customWidth="1"/>
    <col min="5" max="5" width="8.28515625" style="5" customWidth="1"/>
    <col min="6" max="6" width="4.42578125" style="5" customWidth="1"/>
    <col min="7" max="7" width="2.85546875" style="5" customWidth="1"/>
    <col min="8" max="8" width="7.140625" style="5" customWidth="1"/>
    <col min="9" max="9" width="12.28515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5" customWidth="1"/>
    <col min="18" max="22" width="5.140625" style="5" customWidth="1"/>
    <col min="23" max="23" width="9.140625" style="5"/>
    <col min="24" max="24" width="10.570312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35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35"/>
      <c r="R2" s="16"/>
      <c r="S2" s="16"/>
      <c r="T2" s="16"/>
      <c r="U2" s="16"/>
      <c r="V2" s="16"/>
      <c r="W2" s="16"/>
      <c r="X2" s="16"/>
      <c r="Y2" s="16"/>
    </row>
    <row r="3" spans="1:25" ht="18.75" customHeight="1" x14ac:dyDescent="0.3">
      <c r="A3" s="124" t="s">
        <v>243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  <c r="R6" s="16"/>
      <c r="S6" s="16"/>
      <c r="T6" s="16"/>
      <c r="U6" s="16"/>
      <c r="V6" s="16"/>
      <c r="W6" s="16"/>
      <c r="X6" s="16"/>
      <c r="Y6" s="16"/>
    </row>
    <row r="7" spans="1:25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</row>
    <row r="8" spans="1:25" ht="18.75" x14ac:dyDescent="0.3">
      <c r="A8" s="105" t="s">
        <v>68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6"/>
      <c r="S9" s="16"/>
      <c r="T9" s="16"/>
      <c r="U9" s="16"/>
      <c r="V9" s="16"/>
      <c r="W9" s="16"/>
      <c r="X9" s="16"/>
      <c r="Y9" s="16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</row>
    <row r="11" spans="1:25" ht="10.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</row>
    <row r="12" spans="1:25" ht="18.75" x14ac:dyDescent="0.3">
      <c r="A12" s="105" t="s">
        <v>71</v>
      </c>
      <c r="B12" s="105"/>
      <c r="C12" s="105"/>
      <c r="D12" s="105"/>
      <c r="E12" s="105"/>
      <c r="F12" s="106"/>
      <c r="G12" s="108"/>
      <c r="H12" s="107"/>
      <c r="I12" s="15"/>
      <c r="J12" s="9"/>
      <c r="R12" s="16"/>
      <c r="S12" s="16"/>
      <c r="T12" s="16"/>
      <c r="U12" s="16"/>
      <c r="V12" s="16"/>
      <c r="W12" s="16"/>
      <c r="X12" s="16"/>
      <c r="Y12" s="16"/>
    </row>
    <row r="13" spans="1:25" ht="18.600000000000001" customHeight="1" x14ac:dyDescent="0.3">
      <c r="A13" s="105" t="s">
        <v>598</v>
      </c>
      <c r="B13" s="105"/>
      <c r="C13" s="105"/>
      <c r="D13" s="105"/>
      <c r="F13" s="106"/>
      <c r="G13" s="108"/>
      <c r="H13" s="107"/>
      <c r="J13" s="9"/>
      <c r="R13" s="16"/>
      <c r="S13" s="16"/>
      <c r="T13" s="16"/>
      <c r="U13" s="16"/>
      <c r="V13" s="16"/>
      <c r="W13" s="16"/>
      <c r="X13" s="16"/>
      <c r="Y13" s="16"/>
    </row>
    <row r="14" spans="1:25" ht="18.75" x14ac:dyDescent="0.3">
      <c r="A14" s="105" t="s">
        <v>64</v>
      </c>
      <c r="B14" s="105"/>
      <c r="C14" s="105"/>
      <c r="D14" s="105"/>
      <c r="E14" s="105"/>
      <c r="F14" s="106"/>
      <c r="G14" s="108"/>
      <c r="H14" s="107"/>
      <c r="I14" s="15" t="s">
        <v>69</v>
      </c>
      <c r="J14" s="9"/>
      <c r="R14" s="16"/>
      <c r="S14" s="16"/>
      <c r="T14" s="16"/>
      <c r="U14" s="16"/>
      <c r="V14" s="16"/>
      <c r="W14" s="16"/>
      <c r="X14" s="16"/>
      <c r="Y14" s="16"/>
    </row>
    <row r="15" spans="1:25" s="16" customFormat="1" ht="18.75" x14ac:dyDescent="0.3">
      <c r="A15" s="14" t="s">
        <v>244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25" s="16" customFormat="1" ht="18.75" x14ac:dyDescent="0.3">
      <c r="A16" s="14" t="s">
        <v>498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s="19" customFormat="1" ht="19.5" x14ac:dyDescent="0.35">
      <c r="A17" s="17" t="s">
        <v>640</v>
      </c>
      <c r="B17" s="18">
        <f>F12</f>
        <v>0</v>
      </c>
      <c r="C17" s="18" t="s">
        <v>15</v>
      </c>
      <c r="D17" s="18">
        <f>F13</f>
        <v>0</v>
      </c>
      <c r="E17" s="18" t="s">
        <v>15</v>
      </c>
      <c r="F17" s="17">
        <f>F14</f>
        <v>0</v>
      </c>
      <c r="G17" s="17" t="s">
        <v>16</v>
      </c>
      <c r="I17" s="95">
        <f>(7*B17*D17*F17)/1000</f>
        <v>0</v>
      </c>
      <c r="J17" s="17" t="s">
        <v>65</v>
      </c>
      <c r="K17" s="17"/>
      <c r="L17" s="21"/>
      <c r="M17" s="21"/>
      <c r="N17" s="21"/>
    </row>
    <row r="18" spans="1:17" s="16" customFormat="1" ht="18.75" x14ac:dyDescent="0.3">
      <c r="A18" s="14" t="s">
        <v>246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s="16" customFormat="1" ht="18.75" x14ac:dyDescent="0.3">
      <c r="A19" s="14" t="s">
        <v>499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19" customFormat="1" ht="19.5" x14ac:dyDescent="0.35">
      <c r="A20" s="17" t="s">
        <v>641</v>
      </c>
      <c r="B20" s="18">
        <f>F12</f>
        <v>0</v>
      </c>
      <c r="C20" s="18" t="s">
        <v>15</v>
      </c>
      <c r="D20" s="18">
        <f>F13</f>
        <v>0</v>
      </c>
      <c r="E20" s="18" t="s">
        <v>15</v>
      </c>
      <c r="F20" s="17">
        <f>F14</f>
        <v>0</v>
      </c>
      <c r="G20" s="17" t="s">
        <v>597</v>
      </c>
      <c r="I20" s="95">
        <f>(3*B20*D20*F20)/1000</f>
        <v>0</v>
      </c>
      <c r="J20" s="17" t="s">
        <v>66</v>
      </c>
      <c r="K20" s="17"/>
      <c r="L20" s="21"/>
      <c r="M20" s="21"/>
      <c r="N20" s="21"/>
      <c r="O20" s="21"/>
      <c r="P20" s="21"/>
      <c r="Q20" s="21"/>
    </row>
    <row r="21" spans="1:17" s="19" customFormat="1" ht="7.5" customHeight="1" x14ac:dyDescent="0.35">
      <c r="A21" s="17"/>
      <c r="B21" s="17"/>
      <c r="C21" s="18"/>
      <c r="D21" s="17"/>
      <c r="E21" s="18"/>
      <c r="F21" s="17"/>
      <c r="G21" s="17"/>
      <c r="H21" s="17"/>
      <c r="I21" s="17"/>
      <c r="J21" s="18"/>
      <c r="K21" s="17"/>
      <c r="L21" s="17"/>
      <c r="P21" s="21"/>
      <c r="Q21" s="21"/>
    </row>
    <row r="22" spans="1:17" ht="18.75" x14ac:dyDescent="0.3">
      <c r="A22" s="105" t="s">
        <v>70</v>
      </c>
      <c r="B22" s="105"/>
      <c r="C22" s="105"/>
      <c r="D22" s="105"/>
      <c r="E22" s="105"/>
      <c r="F22" s="106"/>
      <c r="G22" s="108"/>
      <c r="H22" s="107"/>
      <c r="I22" s="15"/>
      <c r="J22" s="9"/>
    </row>
    <row r="23" spans="1:17" s="16" customFormat="1" ht="18.75" x14ac:dyDescent="0.3">
      <c r="A23" s="14" t="s">
        <v>247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7" s="16" customFormat="1" ht="18.75" x14ac:dyDescent="0.3">
      <c r="A24" s="14" t="s">
        <v>248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s="19" customFormat="1" ht="19.5" x14ac:dyDescent="0.35">
      <c r="A25" s="17" t="s">
        <v>249</v>
      </c>
      <c r="B25" s="17"/>
      <c r="C25" s="18">
        <f>F22</f>
        <v>0</v>
      </c>
      <c r="D25" s="18" t="s">
        <v>15</v>
      </c>
      <c r="E25" s="18">
        <f>F14</f>
        <v>0</v>
      </c>
      <c r="F25" s="17" t="s">
        <v>16</v>
      </c>
      <c r="G25" s="17"/>
      <c r="I25" s="20">
        <f>(7*C25*E25)/1000</f>
        <v>0</v>
      </c>
      <c r="J25" s="17" t="s">
        <v>65</v>
      </c>
      <c r="K25" s="17"/>
      <c r="L25" s="21"/>
      <c r="M25" s="21"/>
      <c r="N25" s="21"/>
    </row>
    <row r="26" spans="1:17" s="16" customFormat="1" ht="18.75" x14ac:dyDescent="0.3">
      <c r="A26" s="14" t="s">
        <v>250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6" customFormat="1" ht="18.75" x14ac:dyDescent="0.3">
      <c r="A27" s="14" t="s">
        <v>251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9" customFormat="1" ht="19.5" x14ac:dyDescent="0.35">
      <c r="A28" s="17" t="s">
        <v>252</v>
      </c>
      <c r="B28" s="17"/>
      <c r="C28" s="18">
        <f>F22</f>
        <v>0</v>
      </c>
      <c r="D28" s="18" t="s">
        <v>15</v>
      </c>
      <c r="E28" s="18">
        <f>F14</f>
        <v>0</v>
      </c>
      <c r="F28" s="17" t="s">
        <v>16</v>
      </c>
      <c r="G28" s="17"/>
      <c r="I28" s="20">
        <f>(3*C28*E28)/1000</f>
        <v>0</v>
      </c>
      <c r="J28" s="17" t="s">
        <v>66</v>
      </c>
      <c r="K28" s="17"/>
      <c r="L28" s="21"/>
      <c r="M28" s="21"/>
      <c r="N28" s="21"/>
      <c r="O28" s="21"/>
      <c r="P28" s="21"/>
      <c r="Q28" s="21"/>
    </row>
    <row r="29" spans="1:17" s="19" customFormat="1" ht="6" customHeight="1" x14ac:dyDescent="0.35">
      <c r="A29" s="17"/>
      <c r="B29" s="17"/>
      <c r="C29" s="18"/>
      <c r="D29" s="18"/>
      <c r="E29" s="18"/>
      <c r="F29" s="17"/>
      <c r="G29" s="17"/>
      <c r="I29" s="20"/>
      <c r="J29" s="17"/>
      <c r="K29" s="17"/>
      <c r="L29" s="21"/>
      <c r="M29" s="21"/>
      <c r="N29" s="21"/>
      <c r="O29" s="21"/>
      <c r="P29" s="21"/>
      <c r="Q29" s="21"/>
    </row>
    <row r="30" spans="1:17" s="19" customFormat="1" ht="19.5" x14ac:dyDescent="0.35">
      <c r="A30" s="17" t="s">
        <v>253</v>
      </c>
      <c r="B30" s="17"/>
      <c r="C30" s="18"/>
      <c r="D30" s="18"/>
      <c r="E30" s="18"/>
      <c r="F30" s="17"/>
      <c r="G30" s="17"/>
      <c r="I30" s="20"/>
      <c r="J30" s="17"/>
      <c r="K30" s="17"/>
      <c r="L30" s="21"/>
      <c r="M30" s="21"/>
      <c r="N30" s="21"/>
      <c r="O30" s="21"/>
      <c r="P30" s="21"/>
      <c r="Q30" s="21"/>
    </row>
    <row r="31" spans="1:17" s="19" customFormat="1" ht="10.5" customHeight="1" x14ac:dyDescent="0.35">
      <c r="A31" s="17"/>
      <c r="B31" s="17"/>
      <c r="C31" s="18"/>
      <c r="D31" s="18"/>
      <c r="E31" s="18"/>
      <c r="F31" s="17"/>
      <c r="G31" s="17"/>
      <c r="I31" s="20"/>
      <c r="J31" s="17"/>
      <c r="K31" s="17"/>
      <c r="L31" s="21"/>
      <c r="M31" s="21"/>
      <c r="N31" s="21"/>
      <c r="O31" s="21"/>
      <c r="P31" s="21"/>
      <c r="Q31" s="21"/>
    </row>
    <row r="32" spans="1:17" ht="18.75" x14ac:dyDescent="0.3">
      <c r="A32" s="105" t="s">
        <v>71</v>
      </c>
      <c r="B32" s="105"/>
      <c r="C32" s="105"/>
      <c r="D32" s="105"/>
      <c r="E32" s="105"/>
      <c r="F32" s="106"/>
      <c r="G32" s="108"/>
      <c r="H32" s="107"/>
      <c r="I32" s="15"/>
      <c r="J32" s="9"/>
    </row>
    <row r="33" spans="1:17" ht="19.149999999999999" customHeight="1" x14ac:dyDescent="0.3">
      <c r="A33" s="105" t="s">
        <v>598</v>
      </c>
      <c r="B33" s="105"/>
      <c r="C33" s="105"/>
      <c r="D33" s="105"/>
      <c r="F33" s="106"/>
      <c r="G33" s="108"/>
      <c r="H33" s="107"/>
      <c r="J33" s="9"/>
    </row>
    <row r="34" spans="1:17" ht="18.75" x14ac:dyDescent="0.3">
      <c r="A34" s="105" t="s">
        <v>64</v>
      </c>
      <c r="B34" s="105"/>
      <c r="C34" s="105"/>
      <c r="D34" s="105"/>
      <c r="E34" s="105"/>
      <c r="F34" s="106"/>
      <c r="G34" s="108"/>
      <c r="H34" s="107"/>
      <c r="I34" s="15" t="s">
        <v>69</v>
      </c>
      <c r="J34" s="9"/>
    </row>
    <row r="35" spans="1:17" s="16" customFormat="1" ht="18.75" x14ac:dyDescent="0.3">
      <c r="A35" s="14" t="s">
        <v>254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16" customFormat="1" ht="18.75" x14ac:dyDescent="0.3">
      <c r="A36" s="14" t="s">
        <v>500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s="19" customFormat="1" ht="19.5" x14ac:dyDescent="0.35">
      <c r="A37" s="17" t="s">
        <v>642</v>
      </c>
      <c r="B37" s="18">
        <f>F32</f>
        <v>0</v>
      </c>
      <c r="C37" s="18" t="s">
        <v>15</v>
      </c>
      <c r="D37" s="18">
        <f>F33</f>
        <v>0</v>
      </c>
      <c r="E37" s="18" t="s">
        <v>15</v>
      </c>
      <c r="F37" s="17">
        <f>F34</f>
        <v>0</v>
      </c>
      <c r="G37" s="17" t="s">
        <v>16</v>
      </c>
      <c r="I37" s="95">
        <f>(8.6*B37*D37*F37)/1000</f>
        <v>0</v>
      </c>
      <c r="J37" s="17" t="s">
        <v>65</v>
      </c>
      <c r="K37" s="17"/>
      <c r="L37" s="21"/>
      <c r="M37" s="21"/>
      <c r="N37" s="21"/>
    </row>
    <row r="38" spans="1:17" s="16" customFormat="1" ht="18.75" x14ac:dyDescent="0.3">
      <c r="A38" s="14" t="s">
        <v>255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s="16" customFormat="1" ht="18.75" x14ac:dyDescent="0.3">
      <c r="A39" s="14" t="s">
        <v>501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s="19" customFormat="1" ht="19.5" x14ac:dyDescent="0.35">
      <c r="A40" s="17" t="s">
        <v>643</v>
      </c>
      <c r="B40" s="17">
        <f>F32</f>
        <v>0</v>
      </c>
      <c r="C40" s="18" t="s">
        <v>15</v>
      </c>
      <c r="D40" s="18">
        <f>F33</f>
        <v>0</v>
      </c>
      <c r="E40" s="18" t="s">
        <v>15</v>
      </c>
      <c r="F40" s="17">
        <f>F34</f>
        <v>0</v>
      </c>
      <c r="G40" s="17" t="s">
        <v>16</v>
      </c>
      <c r="I40" s="95">
        <f>(3.4*B40*D40*F40)/1000</f>
        <v>0</v>
      </c>
      <c r="J40" s="17" t="s">
        <v>66</v>
      </c>
      <c r="K40" s="17"/>
      <c r="L40" s="21"/>
      <c r="M40" s="21"/>
      <c r="N40" s="21"/>
      <c r="O40" s="21"/>
      <c r="P40" s="21"/>
      <c r="Q40" s="21"/>
    </row>
    <row r="41" spans="1:17" s="19" customFormat="1" ht="7.5" customHeight="1" x14ac:dyDescent="0.35">
      <c r="A41" s="17"/>
      <c r="B41" s="17"/>
      <c r="C41" s="18"/>
      <c r="D41" s="17"/>
      <c r="E41" s="18"/>
      <c r="F41" s="17"/>
      <c r="G41" s="17"/>
      <c r="H41" s="17"/>
      <c r="I41" s="17"/>
      <c r="J41" s="18"/>
      <c r="K41" s="17"/>
      <c r="L41" s="17"/>
      <c r="P41" s="21"/>
      <c r="Q41" s="21"/>
    </row>
    <row r="42" spans="1:17" ht="18.75" x14ac:dyDescent="0.3">
      <c r="A42" s="105" t="s">
        <v>70</v>
      </c>
      <c r="B42" s="105"/>
      <c r="C42" s="105"/>
      <c r="D42" s="105"/>
      <c r="E42" s="105"/>
      <c r="F42" s="106"/>
      <c r="G42" s="108"/>
      <c r="H42" s="107"/>
      <c r="I42" s="15"/>
      <c r="J42" s="9"/>
    </row>
    <row r="43" spans="1:17" s="16" customFormat="1" ht="18.75" x14ac:dyDescent="0.3">
      <c r="A43" s="14" t="s">
        <v>256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s="16" customFormat="1" ht="18.75" x14ac:dyDescent="0.3">
      <c r="A44" s="14" t="s">
        <v>257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s="19" customFormat="1" ht="19.5" x14ac:dyDescent="0.35">
      <c r="A45" s="17" t="s">
        <v>258</v>
      </c>
      <c r="B45" s="17"/>
      <c r="C45" s="18">
        <f>F42</f>
        <v>0</v>
      </c>
      <c r="D45" s="18" t="s">
        <v>15</v>
      </c>
      <c r="E45" s="18">
        <f>F34</f>
        <v>0</v>
      </c>
      <c r="F45" s="17" t="s">
        <v>16</v>
      </c>
      <c r="G45" s="17"/>
      <c r="I45" s="95">
        <f>(8.6*C45*E45)/1000</f>
        <v>0</v>
      </c>
      <c r="J45" s="17" t="s">
        <v>65</v>
      </c>
      <c r="K45" s="17"/>
      <c r="L45" s="21"/>
      <c r="M45" s="21"/>
      <c r="N45" s="21"/>
    </row>
    <row r="46" spans="1:17" s="16" customFormat="1" ht="18.75" x14ac:dyDescent="0.3">
      <c r="A46" s="14" t="s">
        <v>259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6" customFormat="1" ht="18.75" x14ac:dyDescent="0.3">
      <c r="A47" s="14" t="s">
        <v>260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9" customFormat="1" ht="19.5" x14ac:dyDescent="0.35">
      <c r="A48" s="17" t="s">
        <v>261</v>
      </c>
      <c r="B48" s="17"/>
      <c r="C48" s="18">
        <f>F42</f>
        <v>0</v>
      </c>
      <c r="D48" s="18" t="s">
        <v>15</v>
      </c>
      <c r="E48" s="18">
        <f>F34</f>
        <v>0</v>
      </c>
      <c r="F48" s="17" t="s">
        <v>16</v>
      </c>
      <c r="G48" s="17"/>
      <c r="I48" s="95">
        <f>(3.4*C48*E48)/1000</f>
        <v>0</v>
      </c>
      <c r="J48" s="17" t="s">
        <v>66</v>
      </c>
      <c r="K48" s="17"/>
      <c r="L48" s="21"/>
      <c r="M48" s="21"/>
      <c r="N48" s="21"/>
      <c r="O48" s="21"/>
      <c r="P48" s="21"/>
      <c r="Q48" s="21"/>
    </row>
    <row r="49" spans="1:12" ht="18.75" x14ac:dyDescent="0.3">
      <c r="A49" s="102" t="s">
        <v>60</v>
      </c>
      <c r="B49" s="102"/>
      <c r="C49" s="102"/>
      <c r="D49" s="102"/>
      <c r="E49" s="104">
        <f>I17+I20+I25+I28+I37+I40+I45+I48</f>
        <v>0</v>
      </c>
      <c r="F49" s="104"/>
      <c r="G49" s="104"/>
      <c r="H49" s="104"/>
      <c r="I49" s="103" t="s">
        <v>27</v>
      </c>
      <c r="J49" s="103"/>
      <c r="K49" s="103"/>
      <c r="L49" s="103"/>
    </row>
    <row r="50" spans="1:12" ht="18.75" x14ac:dyDescent="0.3">
      <c r="A50" s="26" t="s">
        <v>8</v>
      </c>
    </row>
    <row r="51" spans="1:12" ht="18.75" x14ac:dyDescent="0.3">
      <c r="A51" s="26" t="s">
        <v>149</v>
      </c>
    </row>
    <row r="52" spans="1:12" ht="12" customHeight="1" x14ac:dyDescent="0.3">
      <c r="A52" s="27"/>
    </row>
    <row r="53" spans="1:12" ht="18.75" x14ac:dyDescent="0.3">
      <c r="A53" s="26" t="s">
        <v>9</v>
      </c>
    </row>
    <row r="54" spans="1:12" ht="18.75" x14ac:dyDescent="0.3">
      <c r="A54" s="26"/>
    </row>
    <row r="55" spans="1:12" ht="18.75" x14ac:dyDescent="0.3">
      <c r="A55" s="26" t="s">
        <v>10</v>
      </c>
    </row>
  </sheetData>
  <sheetProtection password="CA9C" sheet="1" objects="1" scenarios="1"/>
  <protectedRanges>
    <protectedRange sqref="A4 G6 J6 J8 A10 F22 F42 F12:F14 F32:F34" name="Диапазон1"/>
  </protectedRanges>
  <mergeCells count="30">
    <mergeCell ref="A1:P1"/>
    <mergeCell ref="A2:P2"/>
    <mergeCell ref="A3:P3"/>
    <mergeCell ref="A4:P4"/>
    <mergeCell ref="A5:P5"/>
    <mergeCell ref="J8:P8"/>
    <mergeCell ref="A14:E14"/>
    <mergeCell ref="F14:H14"/>
    <mergeCell ref="C6:F6"/>
    <mergeCell ref="G6:H6"/>
    <mergeCell ref="A12:E12"/>
    <mergeCell ref="A8:I8"/>
    <mergeCell ref="A10:P10"/>
    <mergeCell ref="F12:H12"/>
    <mergeCell ref="A13:D13"/>
    <mergeCell ref="J6:M6"/>
    <mergeCell ref="F13:H13"/>
    <mergeCell ref="A49:D49"/>
    <mergeCell ref="E49:H49"/>
    <mergeCell ref="I49:L49"/>
    <mergeCell ref="A22:E22"/>
    <mergeCell ref="F22:H22"/>
    <mergeCell ref="A42:E42"/>
    <mergeCell ref="F42:H42"/>
    <mergeCell ref="A32:E32"/>
    <mergeCell ref="F32:H32"/>
    <mergeCell ref="A34:E34"/>
    <mergeCell ref="F34:H34"/>
    <mergeCell ref="A33:D33"/>
    <mergeCell ref="F33:H33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>
    <pageSetUpPr fitToPage="1"/>
  </sheetPr>
  <dimension ref="A1:Y59"/>
  <sheetViews>
    <sheetView workbookViewId="0">
      <selection activeCell="F15" sqref="F15:H15"/>
    </sheetView>
  </sheetViews>
  <sheetFormatPr defaultRowHeight="12.75" x14ac:dyDescent="0.2"/>
  <cols>
    <col min="1" max="1" width="10.42578125" style="5" customWidth="1"/>
    <col min="2" max="2" width="7.42578125" style="5" customWidth="1"/>
    <col min="3" max="3" width="7" style="5" customWidth="1"/>
    <col min="4" max="4" width="5.85546875" style="5" customWidth="1"/>
    <col min="5" max="5" width="6.5703125" style="5" customWidth="1"/>
    <col min="6" max="6" width="6.42578125" style="5" customWidth="1"/>
    <col min="7" max="7" width="5.42578125" style="5" customWidth="1"/>
    <col min="8" max="8" width="11.7109375" style="5" customWidth="1"/>
    <col min="9" max="9" width="9.140625" style="5" customWidth="1"/>
    <col min="10" max="10" width="3.5703125" style="5" customWidth="1"/>
    <col min="11" max="11" width="4" style="5" customWidth="1"/>
    <col min="12" max="12" width="4.5703125" style="5" customWidth="1"/>
    <col min="13" max="13" width="5.28515625" style="5" customWidth="1"/>
    <col min="14" max="14" width="4.140625" style="5" customWidth="1"/>
    <col min="15" max="15" width="4.85546875" style="5" customWidth="1"/>
    <col min="16" max="16" width="7.85546875" style="5" customWidth="1"/>
    <col min="17" max="17" width="7.7109375" style="5" customWidth="1"/>
    <col min="18" max="22" width="5.140625" style="5" customWidth="1"/>
    <col min="23" max="23" width="12.7109375" style="5" customWidth="1"/>
    <col min="24" max="24" width="7.85546875" style="5" customWidth="1"/>
    <col min="25" max="16384" width="9.140625" style="5"/>
  </cols>
  <sheetData>
    <row r="1" spans="1:2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35"/>
    </row>
    <row r="2" spans="1:25" ht="18.75" customHeight="1" x14ac:dyDescent="0.3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35"/>
      <c r="R2" s="16"/>
      <c r="S2" s="16"/>
      <c r="T2" s="16"/>
      <c r="U2" s="16"/>
      <c r="V2" s="16"/>
      <c r="W2" s="16"/>
      <c r="X2" s="16"/>
      <c r="Y2" s="16"/>
    </row>
    <row r="3" spans="1:25" ht="18.75" customHeight="1" x14ac:dyDescent="0.3">
      <c r="A3" s="124" t="s">
        <v>494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4"/>
      <c r="R3" s="16"/>
      <c r="S3" s="16"/>
      <c r="T3" s="16"/>
      <c r="U3" s="16"/>
      <c r="V3" s="16"/>
      <c r="W3" s="16"/>
      <c r="X3" s="16"/>
      <c r="Y3" s="16"/>
    </row>
    <row r="4" spans="1:25" ht="18.75" x14ac:dyDescent="0.3">
      <c r="A4" s="106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7"/>
      <c r="Q4" s="6"/>
      <c r="R4" s="16"/>
      <c r="S4" s="16"/>
      <c r="T4" s="16"/>
      <c r="U4" s="16"/>
      <c r="V4" s="16"/>
      <c r="W4" s="16"/>
      <c r="X4" s="16"/>
      <c r="Y4" s="16"/>
    </row>
    <row r="5" spans="1:25" ht="9.75" customHeight="1" x14ac:dyDescent="0.2">
      <c r="A5" s="111" t="s">
        <v>31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7"/>
      <c r="R5" s="16"/>
      <c r="S5" s="16"/>
      <c r="T5" s="16"/>
      <c r="U5" s="16"/>
      <c r="V5" s="16"/>
      <c r="W5" s="16"/>
      <c r="X5" s="16"/>
      <c r="Y5" s="16"/>
    </row>
    <row r="6" spans="1:25" ht="18.75" x14ac:dyDescent="0.3">
      <c r="A6" s="8"/>
      <c r="B6" s="8"/>
      <c r="C6" s="110" t="s">
        <v>28</v>
      </c>
      <c r="D6" s="110"/>
      <c r="E6" s="110"/>
      <c r="F6" s="110"/>
      <c r="G6" s="106"/>
      <c r="H6" s="107"/>
      <c r="I6" s="8" t="s">
        <v>29</v>
      </c>
      <c r="J6" s="106"/>
      <c r="K6" s="108"/>
      <c r="L6" s="108"/>
      <c r="M6" s="107"/>
      <c r="N6" s="8"/>
      <c r="O6" s="8"/>
      <c r="P6" s="8"/>
      <c r="Q6" s="9"/>
      <c r="R6" s="16"/>
      <c r="S6" s="16"/>
      <c r="T6" s="16"/>
      <c r="U6" s="16"/>
      <c r="V6" s="16"/>
      <c r="W6" s="16"/>
      <c r="X6" s="16"/>
      <c r="Y6" s="16"/>
    </row>
    <row r="7" spans="1:25" ht="14.25" customHeight="1" x14ac:dyDescent="0.3">
      <c r="A7" s="10"/>
      <c r="R7" s="16"/>
      <c r="S7" s="16"/>
      <c r="T7" s="16"/>
      <c r="U7" s="16"/>
      <c r="V7" s="16"/>
      <c r="W7" s="16"/>
      <c r="X7" s="16"/>
      <c r="Y7" s="16"/>
    </row>
    <row r="8" spans="1:25" ht="18.75" x14ac:dyDescent="0.3">
      <c r="A8" s="105" t="s">
        <v>68</v>
      </c>
      <c r="B8" s="105"/>
      <c r="C8" s="105"/>
      <c r="D8" s="105"/>
      <c r="E8" s="105"/>
      <c r="F8" s="105"/>
      <c r="G8" s="105"/>
      <c r="H8" s="105"/>
      <c r="I8" s="105"/>
      <c r="J8" s="106"/>
      <c r="K8" s="108"/>
      <c r="L8" s="108"/>
      <c r="M8" s="108"/>
      <c r="N8" s="108"/>
      <c r="O8" s="108"/>
      <c r="P8" s="107"/>
      <c r="R8" s="16"/>
      <c r="S8" s="16"/>
      <c r="T8" s="16"/>
      <c r="U8" s="16"/>
      <c r="V8" s="16"/>
      <c r="W8" s="16"/>
      <c r="X8" s="16"/>
      <c r="Y8" s="16"/>
    </row>
    <row r="9" spans="1:25" ht="8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6"/>
      <c r="S9" s="16"/>
      <c r="T9" s="16"/>
      <c r="U9" s="16"/>
      <c r="V9" s="16"/>
      <c r="W9" s="16"/>
      <c r="X9" s="16"/>
      <c r="Y9" s="16"/>
    </row>
    <row r="10" spans="1:25" ht="18.75" x14ac:dyDescent="0.3">
      <c r="A10" s="106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7"/>
      <c r="R10" s="16"/>
      <c r="S10" s="16"/>
      <c r="T10" s="16"/>
      <c r="U10" s="16"/>
      <c r="V10" s="16"/>
      <c r="W10" s="16"/>
      <c r="X10" s="16"/>
      <c r="Y10" s="16"/>
    </row>
    <row r="11" spans="1:25" ht="11.25" customHeight="1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6"/>
      <c r="S11" s="16"/>
      <c r="T11" s="16"/>
      <c r="U11" s="16"/>
      <c r="V11" s="16"/>
      <c r="W11" s="16"/>
      <c r="X11" s="16"/>
      <c r="Y11" s="16"/>
    </row>
    <row r="12" spans="1:25" s="52" customFormat="1" ht="18.75" x14ac:dyDescent="0.3">
      <c r="A12" s="50" t="s">
        <v>493</v>
      </c>
      <c r="R12" s="16"/>
      <c r="S12" s="16"/>
      <c r="T12" s="16"/>
      <c r="U12" s="16"/>
      <c r="V12" s="16"/>
      <c r="W12" s="16"/>
      <c r="X12" s="16"/>
      <c r="Y12" s="16"/>
    </row>
    <row r="13" spans="1:25" ht="18.75" x14ac:dyDescent="0.3">
      <c r="A13" s="105" t="s">
        <v>71</v>
      </c>
      <c r="B13" s="105"/>
      <c r="C13" s="105"/>
      <c r="D13" s="105"/>
      <c r="E13" s="105"/>
      <c r="F13" s="106"/>
      <c r="G13" s="108"/>
      <c r="H13" s="107"/>
      <c r="I13" s="15"/>
      <c r="J13" s="9"/>
      <c r="R13" s="16"/>
      <c r="S13" s="16"/>
      <c r="T13" s="16"/>
      <c r="U13" s="16"/>
      <c r="V13" s="16"/>
      <c r="W13" s="16"/>
      <c r="X13" s="16"/>
      <c r="Y13" s="16"/>
    </row>
    <row r="14" spans="1:25" ht="6" customHeight="1" x14ac:dyDescent="0.3">
      <c r="A14" s="11"/>
      <c r="B14" s="11"/>
      <c r="C14" s="11"/>
      <c r="D14" s="11"/>
      <c r="J14" s="9"/>
    </row>
    <row r="15" spans="1:25" ht="18.75" x14ac:dyDescent="0.3">
      <c r="A15" s="105" t="s">
        <v>64</v>
      </c>
      <c r="B15" s="105"/>
      <c r="C15" s="105"/>
      <c r="D15" s="105"/>
      <c r="E15" s="105"/>
      <c r="F15" s="106"/>
      <c r="G15" s="108"/>
      <c r="H15" s="107"/>
      <c r="I15" s="15" t="s">
        <v>69</v>
      </c>
      <c r="J15" s="9"/>
    </row>
    <row r="16" spans="1:25" s="16" customFormat="1" ht="18.75" x14ac:dyDescent="0.3">
      <c r="A16" s="14" t="s">
        <v>270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s="16" customFormat="1" ht="18.75" x14ac:dyDescent="0.3">
      <c r="A17" s="14" t="s">
        <v>262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s="19" customFormat="1" ht="19.5" x14ac:dyDescent="0.35">
      <c r="A18" s="17" t="s">
        <v>263</v>
      </c>
      <c r="B18" s="17"/>
      <c r="C18" s="18">
        <f>F13</f>
        <v>0</v>
      </c>
      <c r="D18" s="18" t="s">
        <v>15</v>
      </c>
      <c r="E18" s="18">
        <f>F15</f>
        <v>0</v>
      </c>
      <c r="F18" s="142" t="s">
        <v>16</v>
      </c>
      <c r="G18" s="142"/>
      <c r="H18" s="123">
        <f>(11.2*C18*E18)/1000</f>
        <v>0</v>
      </c>
      <c r="I18" s="123"/>
      <c r="J18" s="17" t="s">
        <v>65</v>
      </c>
      <c r="K18" s="17"/>
      <c r="L18" s="21"/>
      <c r="M18" s="21"/>
      <c r="N18" s="21"/>
    </row>
    <row r="19" spans="1:17" s="16" customFormat="1" ht="18.75" x14ac:dyDescent="0.3">
      <c r="A19" s="14" t="s">
        <v>264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16" customFormat="1" ht="18.75" x14ac:dyDescent="0.3">
      <c r="A20" s="105" t="s">
        <v>265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4"/>
      <c r="O20" s="14"/>
      <c r="P20" s="14"/>
      <c r="Q20" s="14"/>
    </row>
    <row r="21" spans="1:17" s="19" customFormat="1" ht="19.5" x14ac:dyDescent="0.35">
      <c r="A21" s="17" t="s">
        <v>25</v>
      </c>
      <c r="B21" s="17"/>
      <c r="C21" s="18">
        <f>F13</f>
        <v>0</v>
      </c>
      <c r="D21" s="18" t="s">
        <v>15</v>
      </c>
      <c r="E21" s="18">
        <f>F15</f>
        <v>0</v>
      </c>
      <c r="F21" s="17" t="s">
        <v>16</v>
      </c>
      <c r="H21" s="125">
        <f>(6*C21*E21)/1000</f>
        <v>0</v>
      </c>
      <c r="I21" s="125"/>
      <c r="J21" s="17" t="s">
        <v>66</v>
      </c>
      <c r="K21" s="17"/>
      <c r="L21" s="21"/>
      <c r="M21" s="21"/>
      <c r="N21" s="21"/>
      <c r="O21" s="21"/>
      <c r="P21" s="21"/>
      <c r="Q21" s="21"/>
    </row>
    <row r="22" spans="1:17" s="19" customFormat="1" ht="12" customHeight="1" x14ac:dyDescent="0.35">
      <c r="A22" s="17"/>
      <c r="B22" s="17"/>
      <c r="C22" s="18"/>
      <c r="D22" s="17"/>
      <c r="E22" s="18"/>
      <c r="F22" s="17"/>
      <c r="G22" s="17"/>
      <c r="H22" s="17"/>
      <c r="I22" s="17"/>
      <c r="J22" s="18"/>
      <c r="K22" s="17"/>
      <c r="L22" s="17"/>
      <c r="P22" s="21"/>
      <c r="Q22" s="21"/>
    </row>
    <row r="23" spans="1:17" ht="18.75" x14ac:dyDescent="0.3">
      <c r="A23" s="14" t="s">
        <v>70</v>
      </c>
      <c r="B23" s="14"/>
      <c r="C23" s="14"/>
      <c r="D23" s="14"/>
      <c r="E23" s="36"/>
      <c r="F23" s="106"/>
      <c r="G23" s="108"/>
      <c r="H23" s="107"/>
      <c r="I23" s="15"/>
      <c r="J23" s="9"/>
    </row>
    <row r="24" spans="1:17" s="16" customFormat="1" ht="18.75" x14ac:dyDescent="0.3">
      <c r="A24" s="14" t="s">
        <v>266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s="16" customFormat="1" ht="18.75" x14ac:dyDescent="0.3">
      <c r="A25" s="14" t="s">
        <v>267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s="19" customFormat="1" ht="19.5" x14ac:dyDescent="0.35">
      <c r="A26" s="17" t="s">
        <v>263</v>
      </c>
      <c r="B26" s="17"/>
      <c r="C26" s="18">
        <f>F23</f>
        <v>0</v>
      </c>
      <c r="D26" s="18" t="s">
        <v>15</v>
      </c>
      <c r="E26" s="18">
        <f>F15</f>
        <v>0</v>
      </c>
      <c r="F26" s="17" t="s">
        <v>16</v>
      </c>
      <c r="G26" s="17"/>
      <c r="H26" s="125">
        <f>(11.2*C26*E26)/1000</f>
        <v>0</v>
      </c>
      <c r="I26" s="125"/>
      <c r="J26" s="17" t="s">
        <v>65</v>
      </c>
      <c r="K26" s="17"/>
      <c r="L26" s="21"/>
      <c r="M26" s="21"/>
      <c r="N26" s="21"/>
    </row>
    <row r="27" spans="1:17" s="16" customFormat="1" ht="18.75" x14ac:dyDescent="0.3">
      <c r="A27" s="14" t="s">
        <v>268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6" customFormat="1" ht="18.75" x14ac:dyDescent="0.3">
      <c r="A28" s="14" t="s">
        <v>269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s="19" customFormat="1" ht="19.5" x14ac:dyDescent="0.35">
      <c r="A29" s="17" t="s">
        <v>25</v>
      </c>
      <c r="B29" s="17"/>
      <c r="C29" s="18">
        <f>F23</f>
        <v>0</v>
      </c>
      <c r="D29" s="18" t="s">
        <v>15</v>
      </c>
      <c r="E29" s="18">
        <f>F15</f>
        <v>0</v>
      </c>
      <c r="F29" s="17" t="s">
        <v>16</v>
      </c>
      <c r="G29" s="17"/>
      <c r="H29" s="125">
        <f>(6*C29*E29)/1000</f>
        <v>0</v>
      </c>
      <c r="I29" s="125"/>
      <c r="J29" s="17" t="s">
        <v>66</v>
      </c>
      <c r="K29" s="17"/>
      <c r="L29" s="21"/>
      <c r="M29" s="21"/>
      <c r="N29" s="21"/>
      <c r="O29" s="21"/>
      <c r="P29" s="21"/>
      <c r="Q29" s="21"/>
    </row>
    <row r="30" spans="1:1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s="52" customFormat="1" ht="18.75" x14ac:dyDescent="0.3">
      <c r="A31" s="50" t="s">
        <v>495</v>
      </c>
    </row>
    <row r="32" spans="1:17" s="52" customFormat="1" ht="18.75" x14ac:dyDescent="0.3">
      <c r="A32" s="50" t="s">
        <v>496</v>
      </c>
    </row>
    <row r="33" spans="1:17" s="52" customFormat="1" ht="18.75" x14ac:dyDescent="0.3">
      <c r="A33" s="105" t="s">
        <v>598</v>
      </c>
      <c r="B33" s="119"/>
      <c r="C33" s="119"/>
      <c r="D33" s="119"/>
      <c r="E33" s="119"/>
      <c r="F33" s="106"/>
      <c r="G33" s="108"/>
      <c r="H33" s="107"/>
    </row>
    <row r="34" spans="1:17" s="93" customFormat="1" ht="5.25" customHeight="1" x14ac:dyDescent="0.3">
      <c r="A34" s="91"/>
      <c r="B34" s="92"/>
      <c r="C34" s="92"/>
      <c r="D34" s="92"/>
      <c r="E34" s="92"/>
      <c r="F34" s="90"/>
      <c r="G34" s="90"/>
      <c r="H34" s="90"/>
    </row>
    <row r="35" spans="1:17" ht="18.75" x14ac:dyDescent="0.3">
      <c r="A35" s="105" t="s">
        <v>71</v>
      </c>
      <c r="B35" s="105"/>
      <c r="C35" s="105"/>
      <c r="D35" s="105"/>
      <c r="E35" s="105"/>
      <c r="F35" s="106"/>
      <c r="G35" s="108"/>
      <c r="H35" s="107"/>
      <c r="I35" s="15"/>
      <c r="J35" s="9"/>
    </row>
    <row r="36" spans="1:17" ht="6" customHeight="1" x14ac:dyDescent="0.3">
      <c r="A36" s="11"/>
      <c r="B36" s="11"/>
      <c r="C36" s="11"/>
      <c r="D36" s="11"/>
      <c r="J36" s="9"/>
    </row>
    <row r="37" spans="1:17" ht="18.75" x14ac:dyDescent="0.3">
      <c r="A37" s="105" t="s">
        <v>64</v>
      </c>
      <c r="B37" s="105"/>
      <c r="C37" s="105"/>
      <c r="D37" s="105"/>
      <c r="E37" s="105"/>
      <c r="F37" s="106"/>
      <c r="G37" s="108"/>
      <c r="H37" s="107"/>
      <c r="I37" s="15" t="s">
        <v>69</v>
      </c>
      <c r="J37" s="9"/>
    </row>
    <row r="38" spans="1:17" s="16" customFormat="1" ht="18.75" x14ac:dyDescent="0.3">
      <c r="A38" s="14" t="s">
        <v>497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1:17" s="16" customFormat="1" ht="18.75" x14ac:dyDescent="0.3">
      <c r="A39" s="14" t="s">
        <v>502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s="19" customFormat="1" ht="19.5" x14ac:dyDescent="0.35">
      <c r="A40" s="17" t="s">
        <v>596</v>
      </c>
      <c r="B40" s="17">
        <f>F35</f>
        <v>0</v>
      </c>
      <c r="C40" s="18" t="s">
        <v>15</v>
      </c>
      <c r="D40" s="18">
        <f>F33</f>
        <v>0</v>
      </c>
      <c r="E40" s="18" t="s">
        <v>15</v>
      </c>
      <c r="F40" s="17">
        <f>F37</f>
        <v>0</v>
      </c>
      <c r="G40" s="17" t="s">
        <v>597</v>
      </c>
      <c r="I40" s="95">
        <f>(12*B40*D40*F40)/1000</f>
        <v>0</v>
      </c>
      <c r="J40" s="17" t="s">
        <v>65</v>
      </c>
      <c r="K40" s="17"/>
      <c r="L40" s="21"/>
      <c r="M40" s="21"/>
      <c r="N40" s="21"/>
    </row>
    <row r="41" spans="1:17" s="16" customFormat="1" ht="18.75" x14ac:dyDescent="0.3">
      <c r="A41" s="14" t="s">
        <v>503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1:17" s="16" customFormat="1" ht="18.75" x14ac:dyDescent="0.3">
      <c r="A42" s="140" t="s">
        <v>504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"/>
      <c r="Q42" s="14"/>
    </row>
    <row r="43" spans="1:17" s="19" customFormat="1" ht="19.5" x14ac:dyDescent="0.35">
      <c r="A43" s="17" t="s">
        <v>83</v>
      </c>
      <c r="B43" s="17">
        <f>F35</f>
        <v>0</v>
      </c>
      <c r="C43" s="18" t="s">
        <v>15</v>
      </c>
      <c r="D43" s="18">
        <f>F33</f>
        <v>0</v>
      </c>
      <c r="E43" s="18" t="s">
        <v>15</v>
      </c>
      <c r="F43" s="17">
        <f>F37</f>
        <v>0</v>
      </c>
      <c r="G43" s="17" t="s">
        <v>16</v>
      </c>
      <c r="I43" s="95">
        <f>(8*B43*D43*F43)/1000</f>
        <v>0</v>
      </c>
      <c r="J43" s="17" t="s">
        <v>66</v>
      </c>
      <c r="K43" s="17"/>
      <c r="L43" s="21"/>
      <c r="M43" s="21"/>
      <c r="N43" s="21"/>
      <c r="O43" s="21"/>
      <c r="P43" s="21"/>
      <c r="Q43" s="21"/>
    </row>
    <row r="44" spans="1:17" s="19" customFormat="1" ht="11.25" customHeight="1" x14ac:dyDescent="0.35">
      <c r="A44" s="17"/>
      <c r="B44" s="17"/>
      <c r="C44" s="18"/>
      <c r="D44" s="17"/>
      <c r="E44" s="18"/>
      <c r="F44" s="17"/>
      <c r="G44" s="17"/>
      <c r="H44" s="17"/>
      <c r="I44" s="17"/>
      <c r="J44" s="18"/>
      <c r="K44" s="17"/>
      <c r="L44" s="17"/>
      <c r="P44" s="21"/>
      <c r="Q44" s="21"/>
    </row>
    <row r="45" spans="1:17" ht="18.75" x14ac:dyDescent="0.3">
      <c r="A45" s="14" t="s">
        <v>70</v>
      </c>
      <c r="B45" s="14"/>
      <c r="C45" s="14"/>
      <c r="D45" s="14"/>
      <c r="E45" s="36"/>
      <c r="F45" s="106"/>
      <c r="G45" s="108"/>
      <c r="H45" s="107"/>
      <c r="I45" s="15"/>
      <c r="J45" s="9"/>
    </row>
    <row r="46" spans="1:17" s="16" customFormat="1" ht="18.75" x14ac:dyDescent="0.3">
      <c r="A46" s="14" t="s">
        <v>505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6" customFormat="1" ht="18.75" x14ac:dyDescent="0.3">
      <c r="A47" s="14" t="s">
        <v>506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9" customFormat="1" ht="19.5" x14ac:dyDescent="0.35">
      <c r="A48" s="17" t="s">
        <v>19</v>
      </c>
      <c r="B48" s="17"/>
      <c r="C48" s="18">
        <f>F45</f>
        <v>0</v>
      </c>
      <c r="D48" s="18" t="s">
        <v>15</v>
      </c>
      <c r="E48" s="18">
        <f>F37</f>
        <v>0</v>
      </c>
      <c r="F48" s="17" t="s">
        <v>16</v>
      </c>
      <c r="G48" s="17"/>
      <c r="H48" s="125">
        <f>(12*C48*E48)/1000</f>
        <v>0</v>
      </c>
      <c r="I48" s="125"/>
      <c r="J48" s="17" t="s">
        <v>65</v>
      </c>
      <c r="K48" s="17"/>
      <c r="L48" s="21"/>
      <c r="M48" s="21"/>
      <c r="N48" s="21"/>
    </row>
    <row r="49" spans="1:17" s="16" customFormat="1" ht="18.75" x14ac:dyDescent="0.3">
      <c r="A49" s="14" t="s">
        <v>507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6" customFormat="1" ht="18.75" x14ac:dyDescent="0.3">
      <c r="A50" s="14" t="s">
        <v>508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9" customFormat="1" ht="19.5" x14ac:dyDescent="0.35">
      <c r="A51" s="17" t="s">
        <v>83</v>
      </c>
      <c r="B51" s="17"/>
      <c r="C51" s="18">
        <f>F45</f>
        <v>0</v>
      </c>
      <c r="D51" s="18" t="s">
        <v>15</v>
      </c>
      <c r="E51" s="18">
        <f>F37</f>
        <v>0</v>
      </c>
      <c r="F51" s="17" t="s">
        <v>16</v>
      </c>
      <c r="G51" s="17"/>
      <c r="H51" s="125">
        <f>(8*C51*E51)/1000</f>
        <v>0</v>
      </c>
      <c r="I51" s="125"/>
      <c r="J51" s="17" t="s">
        <v>66</v>
      </c>
      <c r="K51" s="17"/>
      <c r="L51" s="21"/>
      <c r="M51" s="21"/>
      <c r="N51" s="21"/>
      <c r="O51" s="21"/>
      <c r="P51" s="21"/>
      <c r="Q51" s="21"/>
    </row>
    <row r="52" spans="1:17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 ht="18.75" x14ac:dyDescent="0.3">
      <c r="A53" s="102" t="s">
        <v>60</v>
      </c>
      <c r="B53" s="102"/>
      <c r="C53" s="102"/>
      <c r="D53" s="102"/>
      <c r="E53" s="104">
        <f>H18+H21+H26+H29+I40+I43+H48+H51</f>
        <v>0</v>
      </c>
      <c r="F53" s="104"/>
      <c r="G53" s="104"/>
      <c r="H53" s="104"/>
      <c r="I53" s="103" t="s">
        <v>27</v>
      </c>
      <c r="J53" s="103"/>
      <c r="K53" s="103"/>
      <c r="L53" s="103"/>
    </row>
    <row r="54" spans="1:17" ht="18.75" x14ac:dyDescent="0.3">
      <c r="A54" s="26" t="s">
        <v>8</v>
      </c>
    </row>
    <row r="55" spans="1:17" ht="18.75" x14ac:dyDescent="0.3">
      <c r="A55" s="26" t="s">
        <v>149</v>
      </c>
    </row>
    <row r="56" spans="1:17" ht="12" customHeight="1" x14ac:dyDescent="0.3">
      <c r="A56" s="27"/>
    </row>
    <row r="57" spans="1:17" ht="18.75" x14ac:dyDescent="0.3">
      <c r="A57" s="26" t="s">
        <v>9</v>
      </c>
    </row>
    <row r="58" spans="1:17" ht="18.75" x14ac:dyDescent="0.3">
      <c r="A58" s="26"/>
    </row>
    <row r="59" spans="1:17" ht="18.75" x14ac:dyDescent="0.3">
      <c r="A59" s="26" t="s">
        <v>10</v>
      </c>
    </row>
  </sheetData>
  <sheetProtection password="CA9C" sheet="1" objects="1" scenarios="1"/>
  <protectedRanges>
    <protectedRange sqref="A4 G6 J6 J8 A10 F13 F15 F23 F33 F35 F37 F45" name="Диапазон1"/>
  </protectedRanges>
  <mergeCells count="35">
    <mergeCell ref="A53:D53"/>
    <mergeCell ref="E53:H53"/>
    <mergeCell ref="I53:L53"/>
    <mergeCell ref="A15:E15"/>
    <mergeCell ref="F18:G18"/>
    <mergeCell ref="H18:I18"/>
    <mergeCell ref="H21:I21"/>
    <mergeCell ref="F45:H45"/>
    <mergeCell ref="H48:I48"/>
    <mergeCell ref="H51:I51"/>
    <mergeCell ref="H29:I29"/>
    <mergeCell ref="A33:E33"/>
    <mergeCell ref="A42:O42"/>
    <mergeCell ref="A37:E37"/>
    <mergeCell ref="F37:H37"/>
    <mergeCell ref="A1:P1"/>
    <mergeCell ref="A2:P2"/>
    <mergeCell ref="A3:P3"/>
    <mergeCell ref="A4:P4"/>
    <mergeCell ref="A5:P5"/>
    <mergeCell ref="F33:H33"/>
    <mergeCell ref="C6:F6"/>
    <mergeCell ref="G6:H6"/>
    <mergeCell ref="J6:M6"/>
    <mergeCell ref="A13:E13"/>
    <mergeCell ref="J8:P8"/>
    <mergeCell ref="A8:I8"/>
    <mergeCell ref="F15:H15"/>
    <mergeCell ref="H26:I26"/>
    <mergeCell ref="A10:P10"/>
    <mergeCell ref="F13:H13"/>
    <mergeCell ref="A20:M20"/>
    <mergeCell ref="A35:E35"/>
    <mergeCell ref="F35:H35"/>
    <mergeCell ref="F23:H23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48</vt:i4>
      </vt:variant>
      <vt:variant>
        <vt:lpstr>Именованные диапазоны</vt:lpstr>
      </vt:variant>
      <vt:variant>
        <vt:i4>31</vt:i4>
      </vt:variant>
    </vt:vector>
  </HeadingPairs>
  <TitlesOfParts>
    <vt:vector size="79" baseType="lpstr">
      <vt:lpstr>для туристических баз</vt:lpstr>
      <vt:lpstr>стадионов,спортзалов</vt:lpstr>
      <vt:lpstr>больницы </vt:lpstr>
      <vt:lpstr>питьевого фонтанчика</vt:lpstr>
      <vt:lpstr>для науч институтов и лабор</vt:lpstr>
      <vt:lpstr>для жилых домов</vt:lpstr>
      <vt:lpstr>для школ - интернатов</vt:lpstr>
      <vt:lpstr>для общеобразовательных школ</vt:lpstr>
      <vt:lpstr>для уч. заведений</vt:lpstr>
      <vt:lpstr>для театров</vt:lpstr>
      <vt:lpstr>Лист10</vt:lpstr>
      <vt:lpstr>Лист11</vt:lpstr>
      <vt:lpstr>Лист12</vt:lpstr>
      <vt:lpstr>Лист13</vt:lpstr>
      <vt:lpstr>для предприятий обществ. пит.</vt:lpstr>
      <vt:lpstr>Лист14</vt:lpstr>
      <vt:lpstr>Лист15</vt:lpstr>
      <vt:lpstr>для магазинов</vt:lpstr>
      <vt:lpstr>для поликлиники</vt:lpstr>
      <vt:lpstr>для парикмахерской</vt:lpstr>
      <vt:lpstr>для админ. зданий, помещений </vt:lpstr>
      <vt:lpstr>для оздоровительного лагеря </vt:lpstr>
      <vt:lpstr>для общежитий</vt:lpstr>
      <vt:lpstr>для клубов</vt:lpstr>
      <vt:lpstr>для кинотеатров</vt:lpstr>
      <vt:lpstr>детские ясли-сады</vt:lpstr>
      <vt:lpstr>для гостиниц и пансионатов</vt:lpstr>
      <vt:lpstr>для гаражей и стоянок</vt:lpstr>
      <vt:lpstr>для гаражей (с мойкой)</vt:lpstr>
      <vt:lpstr>для библиотек 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для бани</vt:lpstr>
      <vt:lpstr>для аптек</vt:lpstr>
      <vt:lpstr>Лист17</vt:lpstr>
      <vt:lpstr>Лист18</vt:lpstr>
      <vt:lpstr>заливка катка</vt:lpstr>
      <vt:lpstr>Санатории </vt:lpstr>
      <vt:lpstr>Бассейны</vt:lpstr>
      <vt:lpstr>Полив футбольного поля</vt:lpstr>
      <vt:lpstr>Прачечные </vt:lpstr>
      <vt:lpstr>Душевые</vt:lpstr>
      <vt:lpstr>Бассейны!Область_печати</vt:lpstr>
      <vt:lpstr>'больницы '!Область_печати</vt:lpstr>
      <vt:lpstr>'детские ясли-сады'!Область_печати</vt:lpstr>
      <vt:lpstr>'для админ. зданий, помещений '!Область_печати</vt:lpstr>
      <vt:lpstr>'для аптек'!Область_печати</vt:lpstr>
      <vt:lpstr>'для бани'!Область_печати</vt:lpstr>
      <vt:lpstr>'для библиотек '!Область_печати</vt:lpstr>
      <vt:lpstr>'для гаражей (с мойкой)'!Область_печати</vt:lpstr>
      <vt:lpstr>'для гаражей и стоянок'!Область_печати</vt:lpstr>
      <vt:lpstr>'для гостиниц и пансионатов'!Область_печати</vt:lpstr>
      <vt:lpstr>'для жилых домов'!Область_печати</vt:lpstr>
      <vt:lpstr>'для кинотеатров'!Область_печати</vt:lpstr>
      <vt:lpstr>'для клубов'!Область_печати</vt:lpstr>
      <vt:lpstr>'для магазинов'!Область_печати</vt:lpstr>
      <vt:lpstr>'для науч институтов и лабор'!Область_печати</vt:lpstr>
      <vt:lpstr>'для общежитий'!Область_печати</vt:lpstr>
      <vt:lpstr>'для общеобразовательных школ'!Область_печати</vt:lpstr>
      <vt:lpstr>'для оздоровительного лагеря '!Область_печати</vt:lpstr>
      <vt:lpstr>'для парикмахерской'!Область_печати</vt:lpstr>
      <vt:lpstr>'для поликлиники'!Область_печати</vt:lpstr>
      <vt:lpstr>'для предприятий обществ. пит.'!Область_печати</vt:lpstr>
      <vt:lpstr>'для театров'!Область_печати</vt:lpstr>
      <vt:lpstr>'для туристических баз'!Область_печати</vt:lpstr>
      <vt:lpstr>'для уч. заведений'!Область_печати</vt:lpstr>
      <vt:lpstr>'для школ - интернатов'!Область_печати</vt:lpstr>
      <vt:lpstr>Душевые!Область_печати</vt:lpstr>
      <vt:lpstr>'заливка катка'!Область_печати</vt:lpstr>
      <vt:lpstr>'питьевого фонтанчика'!Область_печати</vt:lpstr>
      <vt:lpstr>'Полив футбольного поля'!Область_печати</vt:lpstr>
      <vt:lpstr>'Прачечные '!Область_печати</vt:lpstr>
      <vt:lpstr>'стадионов,спортзалов'!Область_печати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Храповицкий А.А.</cp:lastModifiedBy>
  <cp:lastPrinted>2021-04-21T13:20:28Z</cp:lastPrinted>
  <dcterms:created xsi:type="dcterms:W3CDTF">1996-10-08T23:32:33Z</dcterms:created>
  <dcterms:modified xsi:type="dcterms:W3CDTF">2025-08-04T07:28:23Z</dcterms:modified>
</cp:coreProperties>
</file>